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oogle Drive\NORMATIVAS\2018\NORMATIVA\CABA\"/>
    </mc:Choice>
  </mc:AlternateContent>
  <bookViews>
    <workbookView xWindow="0" yWindow="0" windowWidth="14100" windowHeight="4965" tabRatio="699"/>
  </bookViews>
  <sheets>
    <sheet name="INICIAL" sheetId="17" r:id="rId1"/>
    <sheet name="Hoja1" sheetId="20" state="hidden" r:id="rId2"/>
    <sheet name="PRIMARIA " sheetId="15" r:id="rId3"/>
    <sheet name="ESPECIAL" sheetId="16" r:id="rId4"/>
    <sheet name="SECUNDARIA" sheetId="18" r:id="rId5"/>
    <sheet name="SUPERIOR" sheetId="19" r:id="rId6"/>
    <sheet name="DATOS REFERENCIALES" sheetId="12" r:id="rId7"/>
    <sheet name="TABLA ANTIG." sheetId="13" r:id="rId8"/>
  </sheets>
  <definedNames>
    <definedName name="_xlnm._FilterDatabase" localSheetId="6" hidden="1">'DATOS REFERENCIALES'!$A$35:$AA$172</definedName>
    <definedName name="HORAS">Hoja1!$A$4:$A$43</definedName>
  </definedNames>
  <calcPr calcId="152511"/>
</workbook>
</file>

<file path=xl/calcChain.xml><?xml version="1.0" encoding="utf-8"?>
<calcChain xmlns="http://schemas.openxmlformats.org/spreadsheetml/2006/main">
  <c r="C12" i="17" l="1"/>
  <c r="C32" i="19" l="1"/>
  <c r="C30" i="19"/>
  <c r="C14" i="19"/>
  <c r="C58" i="18"/>
  <c r="C56" i="18"/>
  <c r="C39" i="18"/>
  <c r="C37" i="18"/>
  <c r="C35" i="18"/>
  <c r="C15" i="18"/>
  <c r="C13" i="18"/>
  <c r="H12" i="18"/>
  <c r="H14" i="18"/>
  <c r="C23" i="16"/>
  <c r="C20" i="16"/>
  <c r="C18" i="16"/>
  <c r="C16" i="16"/>
  <c r="C14" i="16"/>
  <c r="C12" i="16"/>
  <c r="C43" i="15"/>
  <c r="C41" i="15"/>
  <c r="C31" i="15"/>
  <c r="C29" i="15"/>
  <c r="C27" i="15"/>
  <c r="C31" i="17"/>
  <c r="C29" i="17"/>
  <c r="C27" i="17"/>
  <c r="C16" i="15"/>
  <c r="C14" i="15"/>
  <c r="C16" i="17"/>
  <c r="C14" i="17"/>
  <c r="AE42" i="16" l="1"/>
  <c r="AE41" i="16"/>
  <c r="AE40" i="16"/>
  <c r="AE38" i="16"/>
  <c r="AE37" i="16"/>
  <c r="AE36" i="16"/>
  <c r="AE35" i="16"/>
  <c r="AE46" i="15"/>
  <c r="AE34" i="15"/>
  <c r="AE21" i="15"/>
  <c r="L32" i="19" l="1"/>
  <c r="O32" i="19" s="1"/>
  <c r="L30" i="19"/>
  <c r="N30" i="19" s="1"/>
  <c r="M14" i="19"/>
  <c r="L14" i="19"/>
  <c r="L12" i="19"/>
  <c r="L35" i="18"/>
  <c r="M58" i="18"/>
  <c r="L58" i="18"/>
  <c r="L56" i="18"/>
  <c r="M39" i="18"/>
  <c r="L39" i="18"/>
  <c r="O39" i="18" s="1"/>
  <c r="M37" i="18"/>
  <c r="L37" i="18"/>
  <c r="L15" i="18"/>
  <c r="L13" i="18"/>
  <c r="L23" i="16"/>
  <c r="L20" i="16"/>
  <c r="R20" i="16" s="1"/>
  <c r="L18" i="16"/>
  <c r="L16" i="16"/>
  <c r="L14" i="16"/>
  <c r="R14" i="16" s="1"/>
  <c r="L12" i="16"/>
  <c r="L43" i="15"/>
  <c r="O43" i="15" s="1"/>
  <c r="L41" i="15"/>
  <c r="L31" i="15"/>
  <c r="O31" i="15" s="1"/>
  <c r="L29" i="15"/>
  <c r="L27" i="15"/>
  <c r="L16" i="15"/>
  <c r="N16" i="15" s="1"/>
  <c r="O16" i="15"/>
  <c r="L14" i="15"/>
  <c r="L12" i="15"/>
  <c r="L29" i="17"/>
  <c r="O29" i="17" s="1"/>
  <c r="L27" i="17"/>
  <c r="L31" i="17"/>
  <c r="O31" i="17" s="1"/>
  <c r="L16" i="17"/>
  <c r="N16" i="17" s="1"/>
  <c r="L14" i="17"/>
  <c r="L12" i="17"/>
  <c r="AD32" i="15"/>
  <c r="H11" i="19"/>
  <c r="K11" i="19"/>
  <c r="P11" i="19"/>
  <c r="Q11" i="19" s="1"/>
  <c r="AA11" i="19"/>
  <c r="AD11" i="19"/>
  <c r="AF11" i="19"/>
  <c r="AG11" i="19"/>
  <c r="H13" i="19"/>
  <c r="K13" i="19"/>
  <c r="N13" i="19" s="1"/>
  <c r="P13" i="19"/>
  <c r="Q13" i="19" s="1"/>
  <c r="AA13" i="19"/>
  <c r="AD13" i="19"/>
  <c r="AF13" i="19"/>
  <c r="AG13" i="19"/>
  <c r="K15" i="19"/>
  <c r="P15" i="19"/>
  <c r="Q15" i="19" s="1"/>
  <c r="AA15" i="19"/>
  <c r="AD15" i="19"/>
  <c r="AF15" i="19"/>
  <c r="AG15" i="19"/>
  <c r="H16" i="19"/>
  <c r="K16" i="19" s="1"/>
  <c r="P16" i="19"/>
  <c r="Q16" i="19" s="1"/>
  <c r="AA16" i="19"/>
  <c r="AD16" i="19"/>
  <c r="AF16" i="19"/>
  <c r="AG16" i="19"/>
  <c r="K17" i="19"/>
  <c r="P17" i="19"/>
  <c r="Q17" i="19" s="1"/>
  <c r="AA17" i="19"/>
  <c r="AD17" i="19"/>
  <c r="AF17" i="19"/>
  <c r="AG17" i="19"/>
  <c r="H18" i="19"/>
  <c r="K18" i="19"/>
  <c r="N18" i="19" s="1"/>
  <c r="P18" i="19"/>
  <c r="Q18" i="19" s="1"/>
  <c r="AA18" i="19"/>
  <c r="AD18" i="19"/>
  <c r="AF18" i="19"/>
  <c r="AG18" i="19"/>
  <c r="H19" i="19"/>
  <c r="K19" i="19" s="1"/>
  <c r="O19" i="19" s="1"/>
  <c r="P19" i="19"/>
  <c r="Q19" i="19" s="1"/>
  <c r="AA19" i="19"/>
  <c r="AD19" i="19"/>
  <c r="AF19" i="19"/>
  <c r="AG19" i="19"/>
  <c r="H20" i="19"/>
  <c r="K20" i="19"/>
  <c r="P20" i="19"/>
  <c r="Q20" i="19" s="1"/>
  <c r="AA20" i="19"/>
  <c r="AD20" i="19"/>
  <c r="AF20" i="19"/>
  <c r="AG20" i="19"/>
  <c r="K21" i="19"/>
  <c r="O21" i="19" s="1"/>
  <c r="P21" i="19"/>
  <c r="Q21" i="19" s="1"/>
  <c r="AA21" i="19"/>
  <c r="AD21" i="19"/>
  <c r="AF21" i="19"/>
  <c r="AG21" i="19"/>
  <c r="K22" i="19"/>
  <c r="N22" i="19" s="1"/>
  <c r="P22" i="19"/>
  <c r="Q22" i="19" s="1"/>
  <c r="AA22" i="19"/>
  <c r="AD22" i="19"/>
  <c r="AF22" i="19"/>
  <c r="AG22" i="19"/>
  <c r="H23" i="19"/>
  <c r="K23" i="19"/>
  <c r="O23" i="19" s="1"/>
  <c r="P23" i="19"/>
  <c r="Q23" i="19" s="1"/>
  <c r="AA23" i="19"/>
  <c r="AD23" i="19"/>
  <c r="AF23" i="19"/>
  <c r="AG23" i="19"/>
  <c r="H24" i="19"/>
  <c r="K24" i="19"/>
  <c r="O24" i="19" s="1"/>
  <c r="N24" i="19"/>
  <c r="P24" i="19"/>
  <c r="Q24" i="19" s="1"/>
  <c r="AA24" i="19"/>
  <c r="AD24" i="19"/>
  <c r="AF24" i="19"/>
  <c r="AG24" i="19"/>
  <c r="H29" i="19"/>
  <c r="K29" i="19"/>
  <c r="P29" i="19"/>
  <c r="Q29" i="19" s="1"/>
  <c r="AA29" i="19"/>
  <c r="AD29" i="19"/>
  <c r="AF29" i="19"/>
  <c r="AG29" i="19"/>
  <c r="H31" i="19"/>
  <c r="K31" i="19"/>
  <c r="N31" i="19" s="1"/>
  <c r="O31" i="19"/>
  <c r="P31" i="19"/>
  <c r="Q31" i="19" s="1"/>
  <c r="AA31" i="19"/>
  <c r="AD31" i="19"/>
  <c r="AF31" i="19"/>
  <c r="AG31" i="19"/>
  <c r="H33" i="19"/>
  <c r="K33" i="19"/>
  <c r="P33" i="19"/>
  <c r="Q33" i="19" s="1"/>
  <c r="AA33" i="19"/>
  <c r="AD33" i="19"/>
  <c r="AF33" i="19"/>
  <c r="AG33" i="19"/>
  <c r="H34" i="19"/>
  <c r="K34" i="19"/>
  <c r="O34" i="19" s="1"/>
  <c r="P34" i="19"/>
  <c r="Q34" i="19" s="1"/>
  <c r="AA34" i="19"/>
  <c r="AD34" i="19"/>
  <c r="AF34" i="19"/>
  <c r="AG34" i="19"/>
  <c r="K35" i="19"/>
  <c r="N35" i="19" s="1"/>
  <c r="P35" i="19"/>
  <c r="Q35" i="19" s="1"/>
  <c r="AA35" i="19"/>
  <c r="AD35" i="19"/>
  <c r="AF35" i="19"/>
  <c r="AG35" i="19"/>
  <c r="H11" i="18"/>
  <c r="K11" i="18" s="1"/>
  <c r="N11" i="18" s="1"/>
  <c r="P11" i="18"/>
  <c r="Q11" i="18" s="1"/>
  <c r="AA11" i="18"/>
  <c r="AD11" i="18"/>
  <c r="AF11" i="18"/>
  <c r="AG11" i="18"/>
  <c r="K12" i="18"/>
  <c r="O12" i="18" s="1"/>
  <c r="P12" i="18"/>
  <c r="Q12" i="18" s="1"/>
  <c r="AA12" i="18"/>
  <c r="AD12" i="18"/>
  <c r="AF12" i="18"/>
  <c r="AG12" i="18"/>
  <c r="K14" i="18"/>
  <c r="O14" i="18" s="1"/>
  <c r="P14" i="18"/>
  <c r="Q14" i="18" s="1"/>
  <c r="AA14" i="18"/>
  <c r="AD14" i="18"/>
  <c r="AF14" i="18"/>
  <c r="AG14" i="18"/>
  <c r="K16" i="18"/>
  <c r="N16" i="18" s="1"/>
  <c r="P16" i="18"/>
  <c r="Q16" i="18" s="1"/>
  <c r="AA16" i="18"/>
  <c r="AD16" i="18"/>
  <c r="AF16" i="18"/>
  <c r="AG16" i="18"/>
  <c r="H17" i="18"/>
  <c r="K17" i="18" s="1"/>
  <c r="N17" i="18" s="1"/>
  <c r="P17" i="18"/>
  <c r="Q17" i="18" s="1"/>
  <c r="AA17" i="18"/>
  <c r="AD17" i="18"/>
  <c r="AF17" i="18"/>
  <c r="AG17" i="18"/>
  <c r="H18" i="18"/>
  <c r="K18" i="18" s="1"/>
  <c r="P18" i="18"/>
  <c r="Q18" i="18" s="1"/>
  <c r="AA18" i="18"/>
  <c r="AD18" i="18"/>
  <c r="AF18" i="18"/>
  <c r="AG18" i="18"/>
  <c r="H19" i="18"/>
  <c r="K19" i="18"/>
  <c r="N19" i="18" s="1"/>
  <c r="P19" i="18"/>
  <c r="Q19" i="18" s="1"/>
  <c r="AA19" i="18"/>
  <c r="AD19" i="18"/>
  <c r="AF19" i="18"/>
  <c r="AG19" i="18"/>
  <c r="H20" i="18"/>
  <c r="K20" i="18"/>
  <c r="P20" i="18"/>
  <c r="Q20" i="18" s="1"/>
  <c r="AA20" i="18"/>
  <c r="AD20" i="18"/>
  <c r="AF20" i="18"/>
  <c r="AG20" i="18"/>
  <c r="H21" i="18"/>
  <c r="K21" i="18" s="1"/>
  <c r="N21" i="18" s="1"/>
  <c r="P21" i="18"/>
  <c r="Q21" i="18" s="1"/>
  <c r="AA21" i="18"/>
  <c r="AD21" i="18"/>
  <c r="AF21" i="18"/>
  <c r="AG21" i="18"/>
  <c r="H22" i="18"/>
  <c r="K22" i="18"/>
  <c r="P22" i="18"/>
  <c r="Q22" i="18" s="1"/>
  <c r="AA22" i="18"/>
  <c r="AD22" i="18"/>
  <c r="AF22" i="18"/>
  <c r="AG22" i="18"/>
  <c r="H23" i="18"/>
  <c r="K23" i="18" s="1"/>
  <c r="O23" i="18" s="1"/>
  <c r="P23" i="18"/>
  <c r="AA23" i="18"/>
  <c r="AD23" i="18"/>
  <c r="AF23" i="18"/>
  <c r="AG23" i="18"/>
  <c r="H24" i="18"/>
  <c r="K24" i="18"/>
  <c r="P24" i="18"/>
  <c r="Q24" i="18" s="1"/>
  <c r="AA24" i="18"/>
  <c r="AD24" i="18"/>
  <c r="AF24" i="18"/>
  <c r="AG24" i="18"/>
  <c r="H25" i="18"/>
  <c r="K25" i="18" s="1"/>
  <c r="N25" i="18" s="1"/>
  <c r="P25" i="18"/>
  <c r="Q25" i="18" s="1"/>
  <c r="AA25" i="18"/>
  <c r="AD25" i="18"/>
  <c r="AF25" i="18"/>
  <c r="AG25" i="18"/>
  <c r="H26" i="18"/>
  <c r="K26" i="18"/>
  <c r="P26" i="18"/>
  <c r="Q26" i="18" s="1"/>
  <c r="AA26" i="18"/>
  <c r="AD26" i="18"/>
  <c r="AF26" i="18"/>
  <c r="AG26" i="18"/>
  <c r="H27" i="18"/>
  <c r="K27" i="18" s="1"/>
  <c r="P27" i="18"/>
  <c r="Q27" i="18" s="1"/>
  <c r="AA27" i="18"/>
  <c r="AD27" i="18"/>
  <c r="AF27" i="18"/>
  <c r="AG27" i="18"/>
  <c r="H28" i="18"/>
  <c r="K28" i="18" s="1"/>
  <c r="P28" i="18"/>
  <c r="Q28" i="18" s="1"/>
  <c r="AA28" i="18"/>
  <c r="AD28" i="18"/>
  <c r="AF28" i="18"/>
  <c r="AG28" i="18"/>
  <c r="H29" i="18"/>
  <c r="K29" i="18" s="1"/>
  <c r="N29" i="18" s="1"/>
  <c r="P29" i="18"/>
  <c r="Q29" i="18" s="1"/>
  <c r="AA29" i="18"/>
  <c r="AD29" i="18"/>
  <c r="AF29" i="18"/>
  <c r="AG29" i="18"/>
  <c r="H34" i="18"/>
  <c r="K34" i="18" s="1"/>
  <c r="N34" i="18" s="1"/>
  <c r="P34" i="18"/>
  <c r="Q34" i="18" s="1"/>
  <c r="AA34" i="18"/>
  <c r="AD34" i="18"/>
  <c r="AF34" i="18"/>
  <c r="AG34" i="18"/>
  <c r="H36" i="18"/>
  <c r="K36" i="18" s="1"/>
  <c r="P36" i="18"/>
  <c r="Q36" i="18" s="1"/>
  <c r="AA36" i="18"/>
  <c r="AD36" i="18"/>
  <c r="AF36" i="18"/>
  <c r="AG36" i="18"/>
  <c r="H38" i="18"/>
  <c r="K38" i="18" s="1"/>
  <c r="P38" i="18"/>
  <c r="Q38" i="18" s="1"/>
  <c r="AA38" i="18"/>
  <c r="AD38" i="18"/>
  <c r="AF38" i="18"/>
  <c r="AG38" i="18"/>
  <c r="H40" i="18"/>
  <c r="K40" i="18"/>
  <c r="O40" i="18" s="1"/>
  <c r="P40" i="18"/>
  <c r="Q40" i="18" s="1"/>
  <c r="AA40" i="18"/>
  <c r="AD40" i="18"/>
  <c r="AF40" i="18"/>
  <c r="AG40" i="18"/>
  <c r="H41" i="18"/>
  <c r="K41" i="18" s="1"/>
  <c r="O41" i="18" s="1"/>
  <c r="P41" i="18"/>
  <c r="Q41" i="18" s="1"/>
  <c r="AA41" i="18"/>
  <c r="AD41" i="18"/>
  <c r="AF41" i="18"/>
  <c r="AG41" i="18"/>
  <c r="H42" i="18"/>
  <c r="K42" i="18" s="1"/>
  <c r="O42" i="18" s="1"/>
  <c r="P42" i="18"/>
  <c r="Q42" i="18" s="1"/>
  <c r="AA42" i="18"/>
  <c r="AD42" i="18"/>
  <c r="AF42" i="18"/>
  <c r="AG42" i="18"/>
  <c r="H43" i="18"/>
  <c r="K43" i="18" s="1"/>
  <c r="P43" i="18"/>
  <c r="Q43" i="18" s="1"/>
  <c r="AA43" i="18"/>
  <c r="AD43" i="18"/>
  <c r="AF43" i="18"/>
  <c r="AG43" i="18"/>
  <c r="H44" i="18"/>
  <c r="K44" i="18" s="1"/>
  <c r="P44" i="18"/>
  <c r="Q44" i="18" s="1"/>
  <c r="AA44" i="18"/>
  <c r="AD44" i="18"/>
  <c r="AF44" i="18"/>
  <c r="AG44" i="18"/>
  <c r="H45" i="18"/>
  <c r="K45" i="18" s="1"/>
  <c r="P45" i="18"/>
  <c r="Q45" i="18" s="1"/>
  <c r="AA45" i="18"/>
  <c r="AD45" i="18"/>
  <c r="AF45" i="18"/>
  <c r="AG45" i="18"/>
  <c r="H46" i="18"/>
  <c r="K46" i="18"/>
  <c r="N46" i="18" s="1"/>
  <c r="P46" i="18"/>
  <c r="Q46" i="18" s="1"/>
  <c r="AA46" i="18"/>
  <c r="AD46" i="18"/>
  <c r="AF46" i="18"/>
  <c r="AG46" i="18"/>
  <c r="H47" i="18"/>
  <c r="K47" i="18" s="1"/>
  <c r="P47" i="18"/>
  <c r="Q47" i="18" s="1"/>
  <c r="AA47" i="18"/>
  <c r="AD47" i="18"/>
  <c r="AF47" i="18"/>
  <c r="AG47" i="18"/>
  <c r="H48" i="18"/>
  <c r="K48" i="18"/>
  <c r="N48" i="18" s="1"/>
  <c r="P48" i="18"/>
  <c r="Q48" i="18" s="1"/>
  <c r="AA48" i="18"/>
  <c r="AD48" i="18"/>
  <c r="AF48" i="18"/>
  <c r="AG48" i="18"/>
  <c r="H49" i="18"/>
  <c r="K49" i="18" s="1"/>
  <c r="N49" i="18" s="1"/>
  <c r="P49" i="18"/>
  <c r="Q49" i="18" s="1"/>
  <c r="AA49" i="18"/>
  <c r="AD49" i="18"/>
  <c r="AF49" i="18"/>
  <c r="AG49" i="18"/>
  <c r="H50" i="18"/>
  <c r="K50" i="18"/>
  <c r="P50" i="18"/>
  <c r="Q50" i="18" s="1"/>
  <c r="AA50" i="18"/>
  <c r="AD50" i="18"/>
  <c r="AF50" i="18"/>
  <c r="AG50" i="18"/>
  <c r="H55" i="18"/>
  <c r="K55" i="18" s="1"/>
  <c r="N55" i="18" s="1"/>
  <c r="P55" i="18"/>
  <c r="Q55" i="18" s="1"/>
  <c r="AA55" i="18"/>
  <c r="AD55" i="18"/>
  <c r="AF55" i="18"/>
  <c r="AG55" i="18"/>
  <c r="H57" i="18"/>
  <c r="K57" i="18"/>
  <c r="P57" i="18"/>
  <c r="Q57" i="18" s="1"/>
  <c r="AA57" i="18"/>
  <c r="AD57" i="18"/>
  <c r="AF57" i="18"/>
  <c r="AG57" i="18"/>
  <c r="H59" i="18"/>
  <c r="K59" i="18" s="1"/>
  <c r="N59" i="18" s="1"/>
  <c r="P59" i="18"/>
  <c r="Q59" i="18" s="1"/>
  <c r="AA59" i="18"/>
  <c r="AD59" i="18"/>
  <c r="AF59" i="18"/>
  <c r="AG59" i="18"/>
  <c r="H60" i="18"/>
  <c r="K60" i="18"/>
  <c r="N60" i="18" s="1"/>
  <c r="P60" i="18"/>
  <c r="Q60" i="18" s="1"/>
  <c r="AA60" i="18"/>
  <c r="AD60" i="18"/>
  <c r="AF60" i="18"/>
  <c r="AG60" i="18"/>
  <c r="H61" i="18"/>
  <c r="K61" i="18" s="1"/>
  <c r="P61" i="18"/>
  <c r="Q61" i="18" s="1"/>
  <c r="AA61" i="18"/>
  <c r="AD61" i="18"/>
  <c r="AF61" i="18"/>
  <c r="AG61" i="18"/>
  <c r="H62" i="18"/>
  <c r="K62" i="18" s="1"/>
  <c r="N62" i="18" s="1"/>
  <c r="P62" i="18"/>
  <c r="Q62" i="18" s="1"/>
  <c r="AA62" i="18"/>
  <c r="AD62" i="18"/>
  <c r="AF62" i="18"/>
  <c r="AG62" i="18"/>
  <c r="H63" i="18"/>
  <c r="K63" i="18" s="1"/>
  <c r="P63" i="18"/>
  <c r="Q63" i="18" s="1"/>
  <c r="AA63" i="18"/>
  <c r="AD63" i="18"/>
  <c r="AF63" i="18"/>
  <c r="AG63" i="18"/>
  <c r="H64" i="18"/>
  <c r="K64" i="18"/>
  <c r="N64" i="18" s="1"/>
  <c r="P64" i="18"/>
  <c r="Q64" i="18" s="1"/>
  <c r="AA64" i="18"/>
  <c r="AD64" i="18"/>
  <c r="AF64" i="18"/>
  <c r="AG64" i="18"/>
  <c r="H65" i="18"/>
  <c r="K65" i="18"/>
  <c r="N65" i="18" s="1"/>
  <c r="P65" i="18"/>
  <c r="Q65" i="18" s="1"/>
  <c r="AA65" i="18"/>
  <c r="AD65" i="18"/>
  <c r="AF65" i="18"/>
  <c r="AG65" i="18"/>
  <c r="H66" i="18"/>
  <c r="K66" i="18"/>
  <c r="N66" i="18" s="1"/>
  <c r="P66" i="18"/>
  <c r="Q66" i="18" s="1"/>
  <c r="AA66" i="18"/>
  <c r="AD66" i="18"/>
  <c r="AF66" i="18"/>
  <c r="AG66" i="18"/>
  <c r="H71" i="18"/>
  <c r="K71" i="18" s="1"/>
  <c r="O71" i="18" s="1"/>
  <c r="P71" i="18"/>
  <c r="AA71" i="18"/>
  <c r="AD71" i="18"/>
  <c r="AF71" i="18"/>
  <c r="AG71" i="18"/>
  <c r="H11" i="16"/>
  <c r="AE11" i="16" s="1"/>
  <c r="P11" i="16"/>
  <c r="Q11" i="16" s="1"/>
  <c r="AA11" i="16"/>
  <c r="AD11" i="16"/>
  <c r="AF11" i="16"/>
  <c r="AG11" i="16"/>
  <c r="H13" i="16"/>
  <c r="AE13" i="16" s="1"/>
  <c r="K13" i="16"/>
  <c r="N13" i="16" s="1"/>
  <c r="P13" i="16"/>
  <c r="Q13" i="16" s="1"/>
  <c r="AA13" i="16"/>
  <c r="AD13" i="16"/>
  <c r="AF13" i="16"/>
  <c r="AG13" i="16"/>
  <c r="H15" i="16"/>
  <c r="AE15" i="16" s="1"/>
  <c r="K15" i="16"/>
  <c r="N15" i="16" s="1"/>
  <c r="P15" i="16"/>
  <c r="Q15" i="16" s="1"/>
  <c r="AA15" i="16"/>
  <c r="AD15" i="16"/>
  <c r="AF15" i="16"/>
  <c r="AG15" i="16"/>
  <c r="H17" i="16"/>
  <c r="AE17" i="16" s="1"/>
  <c r="K17" i="16"/>
  <c r="N17" i="16" s="1"/>
  <c r="P17" i="16"/>
  <c r="Q17" i="16" s="1"/>
  <c r="AA17" i="16"/>
  <c r="AD17" i="16"/>
  <c r="AF17" i="16"/>
  <c r="AG17" i="16"/>
  <c r="H19" i="16"/>
  <c r="AE19" i="16" s="1"/>
  <c r="P19" i="16"/>
  <c r="Q19" i="16" s="1"/>
  <c r="AA19" i="16"/>
  <c r="AD19" i="16"/>
  <c r="AF19" i="16"/>
  <c r="AG19" i="16"/>
  <c r="H21" i="16"/>
  <c r="AE21" i="16" s="1"/>
  <c r="P21" i="16"/>
  <c r="Q21" i="16" s="1"/>
  <c r="AA21" i="16"/>
  <c r="AD21" i="16"/>
  <c r="AF21" i="16"/>
  <c r="AG21" i="16"/>
  <c r="H22" i="16"/>
  <c r="AE22" i="16" s="1"/>
  <c r="K22" i="16"/>
  <c r="O22" i="16" s="1"/>
  <c r="P22" i="16"/>
  <c r="AA22" i="16"/>
  <c r="AD22" i="16"/>
  <c r="AF22" i="16"/>
  <c r="AG22" i="16"/>
  <c r="H24" i="16"/>
  <c r="AE24" i="16" s="1"/>
  <c r="K24" i="16"/>
  <c r="O24" i="16" s="1"/>
  <c r="P24" i="16"/>
  <c r="Q24" i="16" s="1"/>
  <c r="AA24" i="16"/>
  <c r="AD24" i="16"/>
  <c r="AF24" i="16"/>
  <c r="AG24" i="16"/>
  <c r="H25" i="16"/>
  <c r="AE25" i="16" s="1"/>
  <c r="K25" i="16"/>
  <c r="O25" i="16" s="1"/>
  <c r="P25" i="16"/>
  <c r="Q25" i="16" s="1"/>
  <c r="AA25" i="16"/>
  <c r="AD25" i="16"/>
  <c r="AF25" i="16"/>
  <c r="AG25" i="16"/>
  <c r="H26" i="16"/>
  <c r="AE26" i="16" s="1"/>
  <c r="P26" i="16"/>
  <c r="Q26" i="16" s="1"/>
  <c r="AA26" i="16"/>
  <c r="AD26" i="16"/>
  <c r="AF26" i="16"/>
  <c r="AG26" i="16"/>
  <c r="H27" i="16"/>
  <c r="AE27" i="16" s="1"/>
  <c r="K27" i="16"/>
  <c r="N27" i="16" s="1"/>
  <c r="P27" i="16"/>
  <c r="AA27" i="16"/>
  <c r="AD27" i="16"/>
  <c r="AF27" i="16"/>
  <c r="AG27" i="16"/>
  <c r="H28" i="16"/>
  <c r="AE28" i="16" s="1"/>
  <c r="K28" i="16"/>
  <c r="O28" i="16" s="1"/>
  <c r="P28" i="16"/>
  <c r="Q28" i="16" s="1"/>
  <c r="AA28" i="16"/>
  <c r="AD28" i="16"/>
  <c r="AF28" i="16"/>
  <c r="AG28" i="16"/>
  <c r="H29" i="16"/>
  <c r="AE29" i="16" s="1"/>
  <c r="K29" i="16"/>
  <c r="N29" i="16" s="1"/>
  <c r="P29" i="16"/>
  <c r="AA29" i="16"/>
  <c r="AD29" i="16"/>
  <c r="AF29" i="16"/>
  <c r="AG29" i="16"/>
  <c r="H30" i="16"/>
  <c r="AE30" i="16" s="1"/>
  <c r="P30" i="16"/>
  <c r="AA30" i="16"/>
  <c r="AD30" i="16"/>
  <c r="AF30" i="16"/>
  <c r="AG30" i="16"/>
  <c r="H31" i="16"/>
  <c r="AE31" i="16" s="1"/>
  <c r="K31" i="16"/>
  <c r="P31" i="16"/>
  <c r="Q31" i="16" s="1"/>
  <c r="AA31" i="16"/>
  <c r="AD31" i="16"/>
  <c r="AF31" i="16"/>
  <c r="AG31" i="16"/>
  <c r="H32" i="16"/>
  <c r="AE32" i="16" s="1"/>
  <c r="K32" i="16"/>
  <c r="O32" i="16" s="1"/>
  <c r="P32" i="16"/>
  <c r="AA32" i="16"/>
  <c r="AD32" i="16"/>
  <c r="AF32" i="16"/>
  <c r="AG32" i="16"/>
  <c r="H33" i="16"/>
  <c r="AE33" i="16" s="1"/>
  <c r="K33" i="16"/>
  <c r="O33" i="16" s="1"/>
  <c r="P33" i="16"/>
  <c r="Q33" i="16" s="1"/>
  <c r="AA33" i="16"/>
  <c r="AD33" i="16"/>
  <c r="AF33" i="16"/>
  <c r="AG33" i="16"/>
  <c r="H34" i="16"/>
  <c r="AE34" i="16" s="1"/>
  <c r="P34" i="16"/>
  <c r="Q34" i="16" s="1"/>
  <c r="AA34" i="16"/>
  <c r="AD34" i="16"/>
  <c r="AF34" i="16"/>
  <c r="AG34" i="16"/>
  <c r="H35" i="16"/>
  <c r="K35" i="16"/>
  <c r="N35" i="16" s="1"/>
  <c r="P35" i="16"/>
  <c r="Q35" i="16" s="1"/>
  <c r="AA35" i="16"/>
  <c r="AD35" i="16"/>
  <c r="AF35" i="16"/>
  <c r="AG35" i="16"/>
  <c r="H36" i="16"/>
  <c r="K36" i="16"/>
  <c r="O36" i="16" s="1"/>
  <c r="P36" i="16"/>
  <c r="AA36" i="16"/>
  <c r="AD36" i="16"/>
  <c r="AF36" i="16"/>
  <c r="AG36" i="16"/>
  <c r="H37" i="16"/>
  <c r="K37" i="16"/>
  <c r="O37" i="16" s="1"/>
  <c r="P37" i="16"/>
  <c r="Q37" i="16" s="1"/>
  <c r="AA37" i="16"/>
  <c r="AD37" i="16"/>
  <c r="AF37" i="16"/>
  <c r="AG37" i="16"/>
  <c r="H38" i="16"/>
  <c r="K38" i="16"/>
  <c r="O38" i="16" s="1"/>
  <c r="P38" i="16"/>
  <c r="AA38" i="16"/>
  <c r="AD38" i="16"/>
  <c r="AF38" i="16"/>
  <c r="AG38" i="16"/>
  <c r="H39" i="16"/>
  <c r="AE39" i="16" s="1"/>
  <c r="P39" i="16"/>
  <c r="Q39" i="16" s="1"/>
  <c r="AA39" i="16"/>
  <c r="AD39" i="16"/>
  <c r="AF39" i="16"/>
  <c r="AG39" i="16"/>
  <c r="H40" i="16"/>
  <c r="K40" i="16" s="1"/>
  <c r="O40" i="16" s="1"/>
  <c r="P40" i="16"/>
  <c r="Q40" i="16" s="1"/>
  <c r="AA40" i="16"/>
  <c r="AD40" i="16"/>
  <c r="AF40" i="16"/>
  <c r="AG40" i="16"/>
  <c r="H41" i="16"/>
  <c r="K41" i="16"/>
  <c r="P41" i="16"/>
  <c r="AA41" i="16"/>
  <c r="AD41" i="16"/>
  <c r="AF41" i="16"/>
  <c r="AG41" i="16"/>
  <c r="H42" i="16"/>
  <c r="K42" i="16"/>
  <c r="P42" i="16"/>
  <c r="Q42" i="16" s="1"/>
  <c r="AA42" i="16"/>
  <c r="AD42" i="16"/>
  <c r="AF42" i="16"/>
  <c r="AG42" i="16"/>
  <c r="H11" i="15"/>
  <c r="AE11" i="15" s="1"/>
  <c r="P11" i="15"/>
  <c r="Q11" i="15" s="1"/>
  <c r="AA11" i="15"/>
  <c r="AD11" i="15"/>
  <c r="AF11" i="15"/>
  <c r="AG11" i="15"/>
  <c r="H13" i="15"/>
  <c r="AE13" i="15" s="1"/>
  <c r="P13" i="15"/>
  <c r="Q13" i="15" s="1"/>
  <c r="AA13" i="15"/>
  <c r="AD13" i="15"/>
  <c r="AF13" i="15"/>
  <c r="AG13" i="15"/>
  <c r="H15" i="15"/>
  <c r="AE15" i="15" s="1"/>
  <c r="K15" i="15"/>
  <c r="O15" i="15" s="1"/>
  <c r="P15" i="15"/>
  <c r="Q15" i="15"/>
  <c r="AA15" i="15"/>
  <c r="AD15" i="15"/>
  <c r="AF15" i="15"/>
  <c r="AG15" i="15"/>
  <c r="H17" i="15"/>
  <c r="AE17" i="15" s="1"/>
  <c r="K17" i="15"/>
  <c r="N17" i="15" s="1"/>
  <c r="P17" i="15"/>
  <c r="Q17" i="15"/>
  <c r="AA17" i="15"/>
  <c r="AD17" i="15"/>
  <c r="AF17" i="15"/>
  <c r="AG17" i="15"/>
  <c r="H18" i="15"/>
  <c r="AE18" i="15" s="1"/>
  <c r="P18" i="15"/>
  <c r="Q18" i="15"/>
  <c r="AA18" i="15"/>
  <c r="AD18" i="15"/>
  <c r="AF18" i="15"/>
  <c r="AG18" i="15"/>
  <c r="H19" i="15"/>
  <c r="AE19" i="15" s="1"/>
  <c r="P19" i="15"/>
  <c r="Q19" i="15" s="1"/>
  <c r="AA19" i="15"/>
  <c r="AD19" i="15"/>
  <c r="AF19" i="15"/>
  <c r="AG19" i="15"/>
  <c r="H20" i="15"/>
  <c r="AE20" i="15" s="1"/>
  <c r="P20" i="15"/>
  <c r="Q20" i="15" s="1"/>
  <c r="AA20" i="15"/>
  <c r="AD20" i="15"/>
  <c r="AF20" i="15"/>
  <c r="AG20" i="15"/>
  <c r="H21" i="15"/>
  <c r="K21" i="15"/>
  <c r="N21" i="15" s="1"/>
  <c r="P21" i="15"/>
  <c r="Q21" i="15" s="1"/>
  <c r="AA21" i="15"/>
  <c r="AD21" i="15"/>
  <c r="AF21" i="15"/>
  <c r="AG21" i="15"/>
  <c r="H26" i="15"/>
  <c r="AE26" i="15" s="1"/>
  <c r="K26" i="15"/>
  <c r="O26" i="15" s="1"/>
  <c r="P26" i="15"/>
  <c r="Q26" i="15" s="1"/>
  <c r="AA26" i="15"/>
  <c r="AD26" i="15"/>
  <c r="AF26" i="15"/>
  <c r="AG26" i="15"/>
  <c r="H28" i="15"/>
  <c r="AE28" i="15" s="1"/>
  <c r="K28" i="15"/>
  <c r="N28" i="15" s="1"/>
  <c r="P28" i="15"/>
  <c r="Q28" i="15" s="1"/>
  <c r="AA28" i="15"/>
  <c r="AD28" i="15"/>
  <c r="AF28" i="15"/>
  <c r="AG28" i="15"/>
  <c r="H30" i="15"/>
  <c r="AE30" i="15" s="1"/>
  <c r="P30" i="15"/>
  <c r="Q30" i="15" s="1"/>
  <c r="AA30" i="15"/>
  <c r="AD30" i="15"/>
  <c r="AF30" i="15"/>
  <c r="AG30" i="15"/>
  <c r="H32" i="15"/>
  <c r="AE32" i="15" s="1"/>
  <c r="K32" i="15"/>
  <c r="N32" i="15" s="1"/>
  <c r="P32" i="15"/>
  <c r="AA32" i="15"/>
  <c r="AF32" i="15"/>
  <c r="AG32" i="15"/>
  <c r="H33" i="15"/>
  <c r="AE33" i="15" s="1"/>
  <c r="K33" i="15"/>
  <c r="P33" i="15"/>
  <c r="Q33" i="15" s="1"/>
  <c r="AA33" i="15"/>
  <c r="AD33" i="15"/>
  <c r="AF33" i="15"/>
  <c r="AG33" i="15"/>
  <c r="H34" i="15"/>
  <c r="K34" i="15" s="1"/>
  <c r="N34" i="15" s="1"/>
  <c r="P34" i="15"/>
  <c r="Q34" i="15" s="1"/>
  <c r="AA34" i="15"/>
  <c r="AD34" i="15"/>
  <c r="AF34" i="15"/>
  <c r="AG34" i="15"/>
  <c r="H40" i="15"/>
  <c r="AE40" i="15" s="1"/>
  <c r="K40" i="15"/>
  <c r="P40" i="15"/>
  <c r="Q40" i="15" s="1"/>
  <c r="AA40" i="15"/>
  <c r="AD40" i="15"/>
  <c r="AF40" i="15"/>
  <c r="AG40" i="15"/>
  <c r="H42" i="15"/>
  <c r="AE42" i="15" s="1"/>
  <c r="K42" i="15"/>
  <c r="N42" i="15" s="1"/>
  <c r="P42" i="15"/>
  <c r="Q42" i="15" s="1"/>
  <c r="AA42" i="15"/>
  <c r="AD42" i="15"/>
  <c r="AF42" i="15"/>
  <c r="AG42" i="15"/>
  <c r="H44" i="15"/>
  <c r="AE44" i="15" s="1"/>
  <c r="K44" i="15"/>
  <c r="P44" i="15"/>
  <c r="Q44" i="15" s="1"/>
  <c r="AA44" i="15"/>
  <c r="AD44" i="15"/>
  <c r="AF44" i="15"/>
  <c r="AG44" i="15"/>
  <c r="H45" i="15"/>
  <c r="AE45" i="15" s="1"/>
  <c r="K45" i="15"/>
  <c r="O45" i="15" s="1"/>
  <c r="P45" i="15"/>
  <c r="Q45" i="15" s="1"/>
  <c r="AA45" i="15"/>
  <c r="AD45" i="15"/>
  <c r="AF45" i="15"/>
  <c r="AG45" i="15"/>
  <c r="H46" i="15"/>
  <c r="K46" i="15" s="1"/>
  <c r="O46" i="15" s="1"/>
  <c r="P46" i="15"/>
  <c r="Q46" i="15" s="1"/>
  <c r="AA46" i="15"/>
  <c r="AD46" i="15"/>
  <c r="AF46" i="15"/>
  <c r="AG46" i="15"/>
  <c r="H11" i="17"/>
  <c r="K11" i="17"/>
  <c r="N11" i="17" s="1"/>
  <c r="P11" i="17"/>
  <c r="Q11" i="17"/>
  <c r="AA11" i="17"/>
  <c r="AD11" i="17"/>
  <c r="AF11" i="17"/>
  <c r="AG11" i="17"/>
  <c r="H13" i="17"/>
  <c r="K13" i="17"/>
  <c r="O13" i="17" s="1"/>
  <c r="P13" i="17"/>
  <c r="Q13" i="17" s="1"/>
  <c r="AA13" i="17"/>
  <c r="AD13" i="17"/>
  <c r="AF13" i="17"/>
  <c r="AG13" i="17"/>
  <c r="H15" i="17"/>
  <c r="K15" i="17" s="1"/>
  <c r="P15" i="17"/>
  <c r="Q15" i="17" s="1"/>
  <c r="AA15" i="17"/>
  <c r="AD15" i="17"/>
  <c r="AF15" i="17"/>
  <c r="AG15" i="17"/>
  <c r="H17" i="17"/>
  <c r="P17" i="17"/>
  <c r="Q17" i="17" s="1"/>
  <c r="AA17" i="17"/>
  <c r="AD17" i="17"/>
  <c r="AF17" i="17"/>
  <c r="AG17" i="17"/>
  <c r="H18" i="17"/>
  <c r="K18" i="17"/>
  <c r="P18" i="17"/>
  <c r="Q18" i="17" s="1"/>
  <c r="AA18" i="17"/>
  <c r="AD18" i="17"/>
  <c r="AF18" i="17"/>
  <c r="AG18" i="17"/>
  <c r="H19" i="17"/>
  <c r="K19" i="17" s="1"/>
  <c r="O19" i="17" s="1"/>
  <c r="P19" i="17"/>
  <c r="Q19" i="17" s="1"/>
  <c r="AA19" i="17"/>
  <c r="AD19" i="17"/>
  <c r="AF19" i="17"/>
  <c r="AG19" i="17"/>
  <c r="H20" i="17"/>
  <c r="P20" i="17"/>
  <c r="Q20" i="17" s="1"/>
  <c r="AA20" i="17"/>
  <c r="AD20" i="17"/>
  <c r="AF20" i="17"/>
  <c r="AG20" i="17"/>
  <c r="H21" i="17"/>
  <c r="K21" i="17"/>
  <c r="O21" i="17" s="1"/>
  <c r="P21" i="17"/>
  <c r="Q21" i="17" s="1"/>
  <c r="AA21" i="17"/>
  <c r="AD21" i="17"/>
  <c r="AF21" i="17"/>
  <c r="AG21" i="17"/>
  <c r="H26" i="17"/>
  <c r="K26" i="17" s="1"/>
  <c r="O26" i="17" s="1"/>
  <c r="P26" i="17"/>
  <c r="Q26" i="17" s="1"/>
  <c r="AA26" i="17"/>
  <c r="AD26" i="17"/>
  <c r="AF26" i="17"/>
  <c r="AG26" i="17"/>
  <c r="H28" i="17"/>
  <c r="P28" i="17"/>
  <c r="Q28" i="17" s="1"/>
  <c r="AA28" i="17"/>
  <c r="AD28" i="17"/>
  <c r="AF28" i="17"/>
  <c r="AG28" i="17"/>
  <c r="H30" i="17"/>
  <c r="K30" i="17"/>
  <c r="P30" i="17"/>
  <c r="Q30" i="17" s="1"/>
  <c r="AA30" i="17"/>
  <c r="AD30" i="17"/>
  <c r="AF30" i="17"/>
  <c r="AG30" i="17"/>
  <c r="H32" i="17"/>
  <c r="K32" i="17" s="1"/>
  <c r="N32" i="17" s="1"/>
  <c r="P32" i="17"/>
  <c r="Q32" i="17"/>
  <c r="AA32" i="17"/>
  <c r="AD32" i="17"/>
  <c r="AF32" i="17"/>
  <c r="AG32" i="17"/>
  <c r="H33" i="17"/>
  <c r="K33" i="17"/>
  <c r="P33" i="17"/>
  <c r="Q33" i="17" s="1"/>
  <c r="AA33" i="17"/>
  <c r="AD33" i="17"/>
  <c r="AF33" i="17"/>
  <c r="AG33" i="17"/>
  <c r="K20" i="17"/>
  <c r="N20" i="17" s="1"/>
  <c r="K17" i="17"/>
  <c r="K28" i="17"/>
  <c r="N32" i="19"/>
  <c r="N20" i="16"/>
  <c r="O20" i="16"/>
  <c r="N36" i="16"/>
  <c r="N25" i="16"/>
  <c r="O32" i="15"/>
  <c r="O16" i="17"/>
  <c r="S16" i="17" l="1"/>
  <c r="V16" i="17" s="1"/>
  <c r="O42" i="15"/>
  <c r="N16" i="19"/>
  <c r="S16" i="19" s="1"/>
  <c r="W16" i="19" s="1"/>
  <c r="O16" i="19"/>
  <c r="N21" i="19"/>
  <c r="S21" i="19" s="1"/>
  <c r="N45" i="18"/>
  <c r="O45" i="18"/>
  <c r="O43" i="18"/>
  <c r="N43" i="18"/>
  <c r="N44" i="18"/>
  <c r="O44" i="18"/>
  <c r="N63" i="18"/>
  <c r="S63" i="18" s="1"/>
  <c r="X63" i="18" s="1"/>
  <c r="O63" i="18"/>
  <c r="O61" i="18"/>
  <c r="N61" i="18"/>
  <c r="N36" i="18"/>
  <c r="O36" i="18"/>
  <c r="O27" i="18"/>
  <c r="N27" i="18"/>
  <c r="N39" i="18"/>
  <c r="S39" i="18" s="1"/>
  <c r="V39" i="18" s="1"/>
  <c r="O65" i="18"/>
  <c r="O64" i="18"/>
  <c r="O19" i="18"/>
  <c r="N22" i="16"/>
  <c r="O15" i="16"/>
  <c r="K39" i="16"/>
  <c r="K34" i="16"/>
  <c r="N34" i="16" s="1"/>
  <c r="K30" i="16"/>
  <c r="O30" i="16" s="1"/>
  <c r="K26" i="16"/>
  <c r="N26" i="16" s="1"/>
  <c r="K21" i="16"/>
  <c r="R21" i="16" s="1"/>
  <c r="K19" i="16"/>
  <c r="N19" i="16" s="1"/>
  <c r="K11" i="16"/>
  <c r="O11" i="16" s="1"/>
  <c r="K30" i="15"/>
  <c r="O30" i="15" s="1"/>
  <c r="K20" i="15"/>
  <c r="N20" i="15" s="1"/>
  <c r="K19" i="15"/>
  <c r="K18" i="15"/>
  <c r="N18" i="15" s="1"/>
  <c r="O17" i="15"/>
  <c r="S17" i="15" s="1"/>
  <c r="W17" i="15" s="1"/>
  <c r="K13" i="15"/>
  <c r="O13" i="15" s="1"/>
  <c r="K11" i="15"/>
  <c r="M12" i="15" s="1"/>
  <c r="N14" i="19"/>
  <c r="O20" i="17"/>
  <c r="S20" i="17" s="1"/>
  <c r="W20" i="17" s="1"/>
  <c r="O48" i="18"/>
  <c r="N41" i="18"/>
  <c r="S41" i="18" s="1"/>
  <c r="N30" i="16"/>
  <c r="O17" i="18"/>
  <c r="N71" i="18"/>
  <c r="O46" i="18"/>
  <c r="S46" i="18" s="1"/>
  <c r="T46" i="18" s="1"/>
  <c r="S32" i="19"/>
  <c r="U32" i="19" s="1"/>
  <c r="N14" i="18"/>
  <c r="S14" i="18" s="1"/>
  <c r="W14" i="18" s="1"/>
  <c r="O17" i="19"/>
  <c r="N17" i="19"/>
  <c r="S17" i="19" s="1"/>
  <c r="X17" i="19" s="1"/>
  <c r="M27" i="15"/>
  <c r="O27" i="15" s="1"/>
  <c r="N42" i="18"/>
  <c r="S20" i="16"/>
  <c r="X20" i="16" s="1"/>
  <c r="N23" i="18"/>
  <c r="N34" i="19"/>
  <c r="S34" i="19" s="1"/>
  <c r="N13" i="17"/>
  <c r="O34" i="15"/>
  <c r="S34" i="15" s="1"/>
  <c r="R38" i="16"/>
  <c r="N37" i="16"/>
  <c r="N28" i="16"/>
  <c r="N19" i="19"/>
  <c r="S19" i="19" s="1"/>
  <c r="O21" i="18"/>
  <c r="S21" i="18" s="1"/>
  <c r="O49" i="18"/>
  <c r="R32" i="16"/>
  <c r="T16" i="17"/>
  <c r="O32" i="17"/>
  <c r="S32" i="17" s="1"/>
  <c r="N46" i="15"/>
  <c r="S46" i="15" s="1"/>
  <c r="O13" i="19"/>
  <c r="S13" i="19" s="1"/>
  <c r="T13" i="19" s="1"/>
  <c r="R40" i="16"/>
  <c r="N14" i="16"/>
  <c r="S31" i="19"/>
  <c r="X31" i="19" s="1"/>
  <c r="S19" i="18"/>
  <c r="U19" i="18" s="1"/>
  <c r="W32" i="19"/>
  <c r="O20" i="15"/>
  <c r="N13" i="15"/>
  <c r="S13" i="15" s="1"/>
  <c r="T13" i="15" s="1"/>
  <c r="N43" i="15"/>
  <c r="S43" i="15" s="1"/>
  <c r="U43" i="15" s="1"/>
  <c r="O55" i="18"/>
  <c r="S55" i="18" s="1"/>
  <c r="M56" i="18"/>
  <c r="N56" i="18" s="1"/>
  <c r="O11" i="17"/>
  <c r="S11" i="17" s="1"/>
  <c r="U11" i="17" s="1"/>
  <c r="N38" i="16"/>
  <c r="O22" i="19"/>
  <c r="O28" i="15"/>
  <c r="S28" i="15" s="1"/>
  <c r="O21" i="15"/>
  <c r="S21" i="15" s="1"/>
  <c r="O66" i="18"/>
  <c r="O59" i="18"/>
  <c r="S59" i="18" s="1"/>
  <c r="O14" i="16"/>
  <c r="N23" i="19"/>
  <c r="S23" i="19" s="1"/>
  <c r="X23" i="19" s="1"/>
  <c r="O30" i="19"/>
  <c r="S30" i="19" s="1"/>
  <c r="U30" i="19" s="1"/>
  <c r="O35" i="19"/>
  <c r="S35" i="19" s="1"/>
  <c r="O14" i="19"/>
  <c r="O11" i="18"/>
  <c r="S11" i="18" s="1"/>
  <c r="T11" i="18" s="1"/>
  <c r="N40" i="18"/>
  <c r="S40" i="18" s="1"/>
  <c r="T40" i="18" s="1"/>
  <c r="O60" i="18"/>
  <c r="S60" i="18" s="1"/>
  <c r="O29" i="18"/>
  <c r="S29" i="18" s="1"/>
  <c r="V29" i="18" s="1"/>
  <c r="S48" i="18"/>
  <c r="W48" i="18" s="1"/>
  <c r="O25" i="18"/>
  <c r="S25" i="18" s="1"/>
  <c r="T25" i="18" s="1"/>
  <c r="Q23" i="18"/>
  <c r="N40" i="16"/>
  <c r="O29" i="16"/>
  <c r="N32" i="16"/>
  <c r="R25" i="16"/>
  <c r="S25" i="16" s="1"/>
  <c r="R13" i="16"/>
  <c r="R36" i="16"/>
  <c r="O13" i="16"/>
  <c r="R15" i="16"/>
  <c r="Q32" i="16"/>
  <c r="R28" i="16"/>
  <c r="S28" i="16" s="1"/>
  <c r="T28" i="16" s="1"/>
  <c r="O27" i="16"/>
  <c r="R41" i="16"/>
  <c r="S16" i="15"/>
  <c r="V16" i="15" s="1"/>
  <c r="N45" i="15"/>
  <c r="S45" i="15" s="1"/>
  <c r="O11" i="15"/>
  <c r="N31" i="15"/>
  <c r="S31" i="15" s="1"/>
  <c r="X31" i="15" s="1"/>
  <c r="N15" i="15"/>
  <c r="S15" i="15" s="1"/>
  <c r="N11" i="15"/>
  <c r="N21" i="17"/>
  <c r="S21" i="17" s="1"/>
  <c r="U21" i="17" s="1"/>
  <c r="S13" i="17"/>
  <c r="W13" i="17" s="1"/>
  <c r="N29" i="17"/>
  <c r="S29" i="17" s="1"/>
  <c r="V29" i="17" s="1"/>
  <c r="Q41" i="16"/>
  <c r="Q38" i="16"/>
  <c r="R37" i="16"/>
  <c r="Q32" i="15"/>
  <c r="S32" i="15" s="1"/>
  <c r="Q27" i="16"/>
  <c r="R27" i="16"/>
  <c r="Q22" i="16"/>
  <c r="R22" i="16"/>
  <c r="R30" i="16"/>
  <c r="Q30" i="16"/>
  <c r="S42" i="15"/>
  <c r="W42" i="15" s="1"/>
  <c r="Q36" i="16"/>
  <c r="S61" i="18"/>
  <c r="Q29" i="16"/>
  <c r="S66" i="18"/>
  <c r="U66" i="18" s="1"/>
  <c r="S65" i="18"/>
  <c r="R33" i="16"/>
  <c r="S44" i="18"/>
  <c r="S45" i="18"/>
  <c r="R29" i="16"/>
  <c r="Q71" i="18"/>
  <c r="S22" i="19"/>
  <c r="X22" i="19" s="1"/>
  <c r="S49" i="18"/>
  <c r="S27" i="18"/>
  <c r="N15" i="17"/>
  <c r="O15" i="17"/>
  <c r="N40" i="15"/>
  <c r="O40" i="15"/>
  <c r="M41" i="15"/>
  <c r="N41" i="15" s="1"/>
  <c r="N42" i="16"/>
  <c r="O42" i="16"/>
  <c r="R42" i="16"/>
  <c r="O31" i="16"/>
  <c r="R31" i="16"/>
  <c r="N38" i="18"/>
  <c r="O38" i="18"/>
  <c r="N24" i="18"/>
  <c r="O24" i="18"/>
  <c r="O18" i="18"/>
  <c r="N18" i="18"/>
  <c r="O33" i="19"/>
  <c r="N33" i="19"/>
  <c r="S24" i="19"/>
  <c r="O18" i="19"/>
  <c r="N17" i="17"/>
  <c r="O17" i="17"/>
  <c r="N33" i="17"/>
  <c r="O33" i="17"/>
  <c r="O30" i="17"/>
  <c r="N30" i="17"/>
  <c r="N31" i="16"/>
  <c r="N21" i="16"/>
  <c r="O21" i="16"/>
  <c r="O57" i="18"/>
  <c r="N57" i="18"/>
  <c r="O28" i="18"/>
  <c r="N28" i="18"/>
  <c r="O14" i="17"/>
  <c r="O28" i="17"/>
  <c r="N28" i="17"/>
  <c r="N19" i="17"/>
  <c r="S19" i="17" s="1"/>
  <c r="O18" i="17"/>
  <c r="N18" i="17"/>
  <c r="N33" i="15"/>
  <c r="O33" i="15"/>
  <c r="N24" i="16"/>
  <c r="R24" i="16"/>
  <c r="M35" i="18"/>
  <c r="O35" i="18" s="1"/>
  <c r="O34" i="18"/>
  <c r="S34" i="18" s="1"/>
  <c r="O22" i="18"/>
  <c r="N22" i="18"/>
  <c r="O16" i="18"/>
  <c r="S16" i="18" s="1"/>
  <c r="N29" i="19"/>
  <c r="O29" i="19"/>
  <c r="N15" i="19"/>
  <c r="O15" i="19"/>
  <c r="O14" i="15"/>
  <c r="N14" i="15"/>
  <c r="O29" i="15"/>
  <c r="N29" i="15"/>
  <c r="R23" i="16"/>
  <c r="N23" i="16"/>
  <c r="O23" i="16"/>
  <c r="O58" i="18"/>
  <c r="N58" i="18"/>
  <c r="M18" i="16"/>
  <c r="R18" i="16" s="1"/>
  <c r="O17" i="16"/>
  <c r="R17" i="16"/>
  <c r="N50" i="18"/>
  <c r="O50" i="18"/>
  <c r="O47" i="18"/>
  <c r="N47" i="18"/>
  <c r="W44" i="18"/>
  <c r="N26" i="18"/>
  <c r="O26" i="18"/>
  <c r="R16" i="16"/>
  <c r="O16" i="16"/>
  <c r="N16" i="16"/>
  <c r="N26" i="15"/>
  <c r="S26" i="15" s="1"/>
  <c r="S64" i="18"/>
  <c r="O62" i="18"/>
  <c r="S42" i="18"/>
  <c r="N12" i="18"/>
  <c r="S12" i="18" s="1"/>
  <c r="M13" i="18"/>
  <c r="N13" i="18" s="1"/>
  <c r="M12" i="19"/>
  <c r="N11" i="19"/>
  <c r="O11" i="19"/>
  <c r="N31" i="17"/>
  <c r="S31" i="17" s="1"/>
  <c r="M12" i="17"/>
  <c r="O12" i="17" s="1"/>
  <c r="O37" i="18"/>
  <c r="N37" i="18"/>
  <c r="N26" i="17"/>
  <c r="S26" i="17" s="1"/>
  <c r="M27" i="17"/>
  <c r="O27" i="17" s="1"/>
  <c r="N44" i="15"/>
  <c r="O44" i="15"/>
  <c r="O18" i="15"/>
  <c r="S18" i="15" s="1"/>
  <c r="O41" i="16"/>
  <c r="N41" i="16"/>
  <c r="R39" i="16"/>
  <c r="O35" i="16"/>
  <c r="R35" i="16"/>
  <c r="N33" i="16"/>
  <c r="O20" i="18"/>
  <c r="N20" i="18"/>
  <c r="S17" i="18"/>
  <c r="O20" i="19"/>
  <c r="N20" i="19"/>
  <c r="N15" i="18"/>
  <c r="O15" i="18"/>
  <c r="U20" i="16"/>
  <c r="T20" i="16"/>
  <c r="X16" i="17" l="1"/>
  <c r="Y16" i="17" s="1"/>
  <c r="Z16" i="17" s="1"/>
  <c r="W16" i="17"/>
  <c r="R26" i="16"/>
  <c r="U16" i="17"/>
  <c r="N30" i="15"/>
  <c r="S30" i="15" s="1"/>
  <c r="X30" i="15" s="1"/>
  <c r="S36" i="18"/>
  <c r="S43" i="18"/>
  <c r="W43" i="18" s="1"/>
  <c r="N11" i="16"/>
  <c r="O26" i="16"/>
  <c r="X19" i="18"/>
  <c r="M12" i="16"/>
  <c r="R11" i="16"/>
  <c r="S29" i="15"/>
  <c r="X29" i="15" s="1"/>
  <c r="S15" i="16"/>
  <c r="U15" i="16" s="1"/>
  <c r="W20" i="16"/>
  <c r="O34" i="16"/>
  <c r="S20" i="15"/>
  <c r="V20" i="15" s="1"/>
  <c r="X30" i="19"/>
  <c r="X32" i="19"/>
  <c r="V32" i="19"/>
  <c r="S14" i="19"/>
  <c r="W14" i="19" s="1"/>
  <c r="T32" i="19"/>
  <c r="W63" i="18"/>
  <c r="R34" i="16"/>
  <c r="S34" i="16" s="1"/>
  <c r="V34" i="16" s="1"/>
  <c r="O19" i="16"/>
  <c r="N39" i="16"/>
  <c r="O39" i="16"/>
  <c r="S39" i="16" s="1"/>
  <c r="R19" i="16"/>
  <c r="N12" i="15"/>
  <c r="O12" i="15"/>
  <c r="N19" i="15"/>
  <c r="O19" i="15"/>
  <c r="W23" i="19"/>
  <c r="V23" i="19"/>
  <c r="T19" i="18"/>
  <c r="S32" i="16"/>
  <c r="W32" i="16" s="1"/>
  <c r="V19" i="18"/>
  <c r="W28" i="16"/>
  <c r="T20" i="17"/>
  <c r="Y32" i="19"/>
  <c r="Z32" i="19" s="1"/>
  <c r="AC32" i="19" s="1"/>
  <c r="N12" i="16"/>
  <c r="V20" i="16"/>
  <c r="S58" i="18"/>
  <c r="T58" i="18" s="1"/>
  <c r="S30" i="17"/>
  <c r="V30" i="17" s="1"/>
  <c r="S71" i="18"/>
  <c r="T71" i="18" s="1"/>
  <c r="T17" i="15"/>
  <c r="V34" i="19"/>
  <c r="T34" i="19"/>
  <c r="V19" i="19"/>
  <c r="W19" i="19"/>
  <c r="W21" i="18"/>
  <c r="V21" i="18"/>
  <c r="S14" i="16"/>
  <c r="V14" i="16" s="1"/>
  <c r="N35" i="18"/>
  <c r="S35" i="18" s="1"/>
  <c r="V35" i="18" s="1"/>
  <c r="S33" i="16"/>
  <c r="V33" i="16" s="1"/>
  <c r="T31" i="19"/>
  <c r="S18" i="18"/>
  <c r="S13" i="16"/>
  <c r="W13" i="16" s="1"/>
  <c r="S37" i="16"/>
  <c r="V37" i="16" s="1"/>
  <c r="N27" i="15"/>
  <c r="S27" i="15" s="1"/>
  <c r="X27" i="15" s="1"/>
  <c r="O18" i="16"/>
  <c r="S18" i="17"/>
  <c r="T18" i="17" s="1"/>
  <c r="S31" i="16"/>
  <c r="V31" i="16" s="1"/>
  <c r="W31" i="19"/>
  <c r="X17" i="15"/>
  <c r="X29" i="18"/>
  <c r="S38" i="16"/>
  <c r="V38" i="16" s="1"/>
  <c r="S23" i="18"/>
  <c r="X23" i="18" s="1"/>
  <c r="V31" i="19"/>
  <c r="U31" i="19"/>
  <c r="W13" i="19"/>
  <c r="V13" i="19"/>
  <c r="V42" i="15"/>
  <c r="T42" i="15"/>
  <c r="U31" i="15"/>
  <c r="X29" i="17"/>
  <c r="X16" i="15"/>
  <c r="W16" i="15"/>
  <c r="U39" i="18"/>
  <c r="X39" i="18"/>
  <c r="S17" i="17"/>
  <c r="X17" i="17" s="1"/>
  <c r="W29" i="18"/>
  <c r="S40" i="16"/>
  <c r="W40" i="16" s="1"/>
  <c r="T23" i="19"/>
  <c r="V48" i="18"/>
  <c r="U48" i="18"/>
  <c r="W25" i="18"/>
  <c r="U23" i="19"/>
  <c r="V14" i="18"/>
  <c r="X19" i="19"/>
  <c r="U46" i="18"/>
  <c r="U16" i="19"/>
  <c r="X13" i="17"/>
  <c r="W11" i="18"/>
  <c r="T13" i="17"/>
  <c r="V40" i="18"/>
  <c r="W19" i="18"/>
  <c r="X28" i="15"/>
  <c r="W28" i="15"/>
  <c r="V28" i="15"/>
  <c r="T28" i="15"/>
  <c r="U28" i="15"/>
  <c r="T20" i="15"/>
  <c r="W14" i="16"/>
  <c r="V28" i="16"/>
  <c r="S22" i="16"/>
  <c r="X22" i="16" s="1"/>
  <c r="X20" i="17"/>
  <c r="X43" i="15"/>
  <c r="T43" i="15"/>
  <c r="W43" i="15"/>
  <c r="V43" i="15"/>
  <c r="T19" i="19"/>
  <c r="S23" i="16"/>
  <c r="W23" i="16" s="1"/>
  <c r="W22" i="19"/>
  <c r="V30" i="19"/>
  <c r="U29" i="18"/>
  <c r="V11" i="18"/>
  <c r="V46" i="18"/>
  <c r="U16" i="15"/>
  <c r="U13" i="19"/>
  <c r="S15" i="17"/>
  <c r="U15" i="17" s="1"/>
  <c r="X28" i="16"/>
  <c r="U17" i="15"/>
  <c r="U20" i="17"/>
  <c r="T29" i="18"/>
  <c r="U19" i="19"/>
  <c r="W46" i="18"/>
  <c r="S15" i="19"/>
  <c r="U15" i="19" s="1"/>
  <c r="V13" i="17"/>
  <c r="U11" i="18"/>
  <c r="X46" i="18"/>
  <c r="T34" i="16"/>
  <c r="U40" i="18"/>
  <c r="S29" i="16"/>
  <c r="W29" i="16" s="1"/>
  <c r="U17" i="19"/>
  <c r="S20" i="19"/>
  <c r="U20" i="19" s="1"/>
  <c r="S20" i="18"/>
  <c r="T20" i="18" s="1"/>
  <c r="S11" i="19"/>
  <c r="X11" i="19" s="1"/>
  <c r="S16" i="16"/>
  <c r="X16" i="16" s="1"/>
  <c r="S14" i="15"/>
  <c r="V14" i="15" s="1"/>
  <c r="S33" i="15"/>
  <c r="U33" i="15" s="1"/>
  <c r="W30" i="19"/>
  <c r="S57" i="18"/>
  <c r="V57" i="18" s="1"/>
  <c r="W34" i="19"/>
  <c r="U14" i="18"/>
  <c r="T16" i="15"/>
  <c r="S18" i="19"/>
  <c r="U18" i="19" s="1"/>
  <c r="S40" i="15"/>
  <c r="W40" i="15" s="1"/>
  <c r="U28" i="16"/>
  <c r="V20" i="17"/>
  <c r="S11" i="15"/>
  <c r="X11" i="15" s="1"/>
  <c r="W39" i="18"/>
  <c r="T39" i="18"/>
  <c r="O56" i="18"/>
  <c r="S56" i="18" s="1"/>
  <c r="V16" i="19"/>
  <c r="T30" i="19"/>
  <c r="X34" i="19"/>
  <c r="V60" i="18"/>
  <c r="W60" i="18"/>
  <c r="U60" i="18"/>
  <c r="X60" i="18"/>
  <c r="T60" i="18"/>
  <c r="U21" i="18"/>
  <c r="X21" i="18"/>
  <c r="S37" i="18"/>
  <c r="X37" i="18" s="1"/>
  <c r="X40" i="18"/>
  <c r="W40" i="18"/>
  <c r="X48" i="18"/>
  <c r="X43" i="18"/>
  <c r="U43" i="18"/>
  <c r="T66" i="18"/>
  <c r="X11" i="18"/>
  <c r="S38" i="18"/>
  <c r="V38" i="18" s="1"/>
  <c r="T21" i="18"/>
  <c r="T48" i="18"/>
  <c r="V25" i="16"/>
  <c r="X25" i="16"/>
  <c r="T25" i="16"/>
  <c r="U25" i="16"/>
  <c r="W25" i="16"/>
  <c r="T15" i="16"/>
  <c r="S42" i="16"/>
  <c r="X42" i="16" s="1"/>
  <c r="N18" i="16"/>
  <c r="S27" i="16"/>
  <c r="X27" i="16" s="1"/>
  <c r="V15" i="15"/>
  <c r="U15" i="15"/>
  <c r="X15" i="15"/>
  <c r="U42" i="15"/>
  <c r="X42" i="15"/>
  <c r="O41" i="15"/>
  <c r="S41" i="15" s="1"/>
  <c r="W41" i="15" s="1"/>
  <c r="V17" i="15"/>
  <c r="T31" i="15"/>
  <c r="W31" i="15"/>
  <c r="V31" i="15"/>
  <c r="W13" i="15"/>
  <c r="V13" i="15"/>
  <c r="U13" i="15"/>
  <c r="X13" i="15"/>
  <c r="S28" i="17"/>
  <c r="V28" i="17" s="1"/>
  <c r="U29" i="17"/>
  <c r="T29" i="17"/>
  <c r="W29" i="17"/>
  <c r="U13" i="17"/>
  <c r="N27" i="17"/>
  <c r="S27" i="17" s="1"/>
  <c r="X27" i="17" s="1"/>
  <c r="V66" i="18"/>
  <c r="W66" i="18"/>
  <c r="N12" i="17"/>
  <c r="S12" i="17" s="1"/>
  <c r="W12" i="17" s="1"/>
  <c r="X32" i="15"/>
  <c r="W32" i="15"/>
  <c r="T32" i="15"/>
  <c r="U32" i="15"/>
  <c r="V32" i="15"/>
  <c r="X36" i="18"/>
  <c r="U36" i="18"/>
  <c r="T36" i="18"/>
  <c r="W36" i="18"/>
  <c r="V36" i="18"/>
  <c r="X59" i="18"/>
  <c r="U59" i="18"/>
  <c r="W59" i="18"/>
  <c r="T59" i="18"/>
  <c r="V59" i="18"/>
  <c r="V41" i="18"/>
  <c r="T41" i="18"/>
  <c r="U32" i="16"/>
  <c r="U45" i="15"/>
  <c r="X45" i="15"/>
  <c r="W45" i="15"/>
  <c r="T45" i="15"/>
  <c r="V45" i="15"/>
  <c r="W41" i="18"/>
  <c r="W49" i="18"/>
  <c r="T49" i="18"/>
  <c r="V65" i="18"/>
  <c r="T65" i="18"/>
  <c r="U65" i="18"/>
  <c r="X65" i="18"/>
  <c r="W65" i="18"/>
  <c r="U41" i="18"/>
  <c r="T15" i="15"/>
  <c r="X49" i="18"/>
  <c r="V49" i="18"/>
  <c r="X21" i="17"/>
  <c r="X16" i="19"/>
  <c r="T16" i="19"/>
  <c r="T21" i="17"/>
  <c r="X14" i="18"/>
  <c r="W17" i="19"/>
  <c r="T17" i="19"/>
  <c r="V17" i="19"/>
  <c r="U63" i="18"/>
  <c r="T63" i="18"/>
  <c r="V44" i="18"/>
  <c r="T44" i="18"/>
  <c r="X44" i="18"/>
  <c r="T61" i="18"/>
  <c r="X61" i="18"/>
  <c r="U61" i="18"/>
  <c r="V61" i="18"/>
  <c r="W61" i="18"/>
  <c r="S36" i="16"/>
  <c r="S11" i="16"/>
  <c r="V11" i="16" s="1"/>
  <c r="U44" i="18"/>
  <c r="X66" i="18"/>
  <c r="X41" i="18"/>
  <c r="W15" i="15"/>
  <c r="U49" i="18"/>
  <c r="S21" i="16"/>
  <c r="W21" i="16" s="1"/>
  <c r="W21" i="17"/>
  <c r="U34" i="19"/>
  <c r="V63" i="18"/>
  <c r="V21" i="17"/>
  <c r="X13" i="19"/>
  <c r="T14" i="18"/>
  <c r="X25" i="18"/>
  <c r="U25" i="18"/>
  <c r="V25" i="18"/>
  <c r="V22" i="19"/>
  <c r="T22" i="19"/>
  <c r="U22" i="19"/>
  <c r="X34" i="15"/>
  <c r="T34" i="15"/>
  <c r="W34" i="15"/>
  <c r="V34" i="15"/>
  <c r="U34" i="15"/>
  <c r="V45" i="18"/>
  <c r="U45" i="18"/>
  <c r="T45" i="18"/>
  <c r="X45" i="18"/>
  <c r="W45" i="18"/>
  <c r="V11" i="17"/>
  <c r="W11" i="17"/>
  <c r="X11" i="17"/>
  <c r="T11" i="17"/>
  <c r="S30" i="16"/>
  <c r="T30" i="17"/>
  <c r="V34" i="18"/>
  <c r="T34" i="18"/>
  <c r="U34" i="18"/>
  <c r="X34" i="18"/>
  <c r="W34" i="18"/>
  <c r="U29" i="15"/>
  <c r="V16" i="18"/>
  <c r="X16" i="18"/>
  <c r="U16" i="18"/>
  <c r="T16" i="18"/>
  <c r="W16" i="18"/>
  <c r="U28" i="17"/>
  <c r="T57" i="18"/>
  <c r="S41" i="16"/>
  <c r="V46" i="15"/>
  <c r="X46" i="15"/>
  <c r="U46" i="15"/>
  <c r="W46" i="15"/>
  <c r="T46" i="15"/>
  <c r="N12" i="19"/>
  <c r="O12" i="19"/>
  <c r="V42" i="18"/>
  <c r="U42" i="18"/>
  <c r="X42" i="18"/>
  <c r="W42" i="18"/>
  <c r="T42" i="18"/>
  <c r="U35" i="19"/>
  <c r="T35" i="19"/>
  <c r="W35" i="19"/>
  <c r="X35" i="19"/>
  <c r="V35" i="19"/>
  <c r="S47" i="18"/>
  <c r="W21" i="15"/>
  <c r="U21" i="15"/>
  <c r="T21" i="15"/>
  <c r="X21" i="15"/>
  <c r="V21" i="15"/>
  <c r="X58" i="18"/>
  <c r="W58" i="18"/>
  <c r="U58" i="18"/>
  <c r="U19" i="17"/>
  <c r="W19" i="17"/>
  <c r="X19" i="17"/>
  <c r="V19" i="17"/>
  <c r="T19" i="17"/>
  <c r="T13" i="16"/>
  <c r="S28" i="18"/>
  <c r="X32" i="17"/>
  <c r="U32" i="17"/>
  <c r="T32" i="17"/>
  <c r="V32" i="17"/>
  <c r="W32" i="17"/>
  <c r="X18" i="18"/>
  <c r="U18" i="18"/>
  <c r="T18" i="18"/>
  <c r="W18" i="18"/>
  <c r="V18" i="18"/>
  <c r="S15" i="18"/>
  <c r="S44" i="15"/>
  <c r="W31" i="17"/>
  <c r="U31" i="17"/>
  <c r="V31" i="17"/>
  <c r="X31" i="17"/>
  <c r="T31" i="17"/>
  <c r="S26" i="18"/>
  <c r="S17" i="16"/>
  <c r="S24" i="16"/>
  <c r="X18" i="17"/>
  <c r="S33" i="17"/>
  <c r="W24" i="19"/>
  <c r="U24" i="19"/>
  <c r="V24" i="19"/>
  <c r="X24" i="19"/>
  <c r="T24" i="19"/>
  <c r="S33" i="19"/>
  <c r="T27" i="18"/>
  <c r="X27" i="18"/>
  <c r="W27" i="18"/>
  <c r="V27" i="18"/>
  <c r="U27" i="18"/>
  <c r="S35" i="16"/>
  <c r="X17" i="18"/>
  <c r="U17" i="18"/>
  <c r="T17" i="18"/>
  <c r="V17" i="18"/>
  <c r="W17" i="18"/>
  <c r="V18" i="15"/>
  <c r="U18" i="15"/>
  <c r="X18" i="15"/>
  <c r="T18" i="15"/>
  <c r="W18" i="15"/>
  <c r="W37" i="18"/>
  <c r="T37" i="18"/>
  <c r="S62" i="18"/>
  <c r="V26" i="15"/>
  <c r="U26" i="15"/>
  <c r="W26" i="15"/>
  <c r="X26" i="15"/>
  <c r="T26" i="15"/>
  <c r="S29" i="19"/>
  <c r="S22" i="18"/>
  <c r="S24" i="18"/>
  <c r="O13" i="18"/>
  <c r="S13" i="18" s="1"/>
  <c r="T13" i="18" s="1"/>
  <c r="W26" i="17"/>
  <c r="U26" i="17"/>
  <c r="T26" i="17"/>
  <c r="X26" i="17"/>
  <c r="V26" i="17"/>
  <c r="W12" i="18"/>
  <c r="T12" i="18"/>
  <c r="U12" i="18"/>
  <c r="X12" i="18"/>
  <c r="V12" i="18"/>
  <c r="V64" i="18"/>
  <c r="U64" i="18"/>
  <c r="T64" i="18"/>
  <c r="X64" i="18"/>
  <c r="W64" i="18"/>
  <c r="S50" i="18"/>
  <c r="T55" i="18"/>
  <c r="X55" i="18"/>
  <c r="U55" i="18"/>
  <c r="V55" i="18"/>
  <c r="W55" i="18"/>
  <c r="T21" i="19"/>
  <c r="V21" i="19"/>
  <c r="X21" i="19"/>
  <c r="W21" i="19"/>
  <c r="U21" i="19"/>
  <c r="Y20" i="16"/>
  <c r="Z20" i="16" s="1"/>
  <c r="X35" i="18"/>
  <c r="T35" i="18"/>
  <c r="U35" i="18"/>
  <c r="W35" i="18"/>
  <c r="W27" i="15"/>
  <c r="S12" i="15" l="1"/>
  <c r="X12" i="15" s="1"/>
  <c r="U13" i="16"/>
  <c r="X15" i="16"/>
  <c r="W15" i="16"/>
  <c r="X13" i="16"/>
  <c r="V30" i="15"/>
  <c r="V15" i="16"/>
  <c r="V13" i="16"/>
  <c r="X30" i="17"/>
  <c r="W30" i="15"/>
  <c r="W34" i="16"/>
  <c r="T43" i="18"/>
  <c r="T20" i="19"/>
  <c r="V32" i="16"/>
  <c r="S19" i="16"/>
  <c r="S26" i="16"/>
  <c r="U26" i="16" s="1"/>
  <c r="V29" i="15"/>
  <c r="Y29" i="15" s="1"/>
  <c r="Z29" i="15" s="1"/>
  <c r="W29" i="15"/>
  <c r="T30" i="15"/>
  <c r="U14" i="19"/>
  <c r="T15" i="19"/>
  <c r="T29" i="15"/>
  <c r="X38" i="18"/>
  <c r="U30" i="17"/>
  <c r="U30" i="15"/>
  <c r="T32" i="16"/>
  <c r="X19" i="16"/>
  <c r="AB19" i="18"/>
  <c r="V19" i="16"/>
  <c r="R12" i="16"/>
  <c r="O12" i="16"/>
  <c r="S12" i="16"/>
  <c r="X12" i="16" s="1"/>
  <c r="V58" i="18"/>
  <c r="U21" i="16"/>
  <c r="X32" i="16"/>
  <c r="V43" i="18"/>
  <c r="Y43" i="18" s="1"/>
  <c r="Z43" i="18" s="1"/>
  <c r="X34" i="16"/>
  <c r="U34" i="16"/>
  <c r="W20" i="15"/>
  <c r="U20" i="15"/>
  <c r="X20" i="15"/>
  <c r="V14" i="19"/>
  <c r="X14" i="19"/>
  <c r="T14" i="19"/>
  <c r="Y14" i="19" s="1"/>
  <c r="Z14" i="19" s="1"/>
  <c r="V15" i="19"/>
  <c r="W20" i="19"/>
  <c r="Y13" i="19"/>
  <c r="Z13" i="19" s="1"/>
  <c r="U71" i="18"/>
  <c r="AB71" i="18" s="1"/>
  <c r="T14" i="16"/>
  <c r="X14" i="16"/>
  <c r="Y14" i="16" s="1"/>
  <c r="Z14" i="16" s="1"/>
  <c r="Y28" i="16"/>
  <c r="Z28" i="16" s="1"/>
  <c r="S18" i="16"/>
  <c r="W18" i="16" s="1"/>
  <c r="U14" i="16"/>
  <c r="T33" i="16"/>
  <c r="T31" i="16"/>
  <c r="W16" i="16"/>
  <c r="U19" i="16"/>
  <c r="S19" i="15"/>
  <c r="Y17" i="15"/>
  <c r="Z17" i="15" s="1"/>
  <c r="W18" i="17"/>
  <c r="W30" i="17"/>
  <c r="AB30" i="17" s="1"/>
  <c r="T40" i="16"/>
  <c r="T38" i="16"/>
  <c r="AB28" i="16"/>
  <c r="V23" i="18"/>
  <c r="Y19" i="19"/>
  <c r="Z19" i="19" s="1"/>
  <c r="W20" i="18"/>
  <c r="U22" i="16"/>
  <c r="W15" i="19"/>
  <c r="V20" i="19"/>
  <c r="W71" i="18"/>
  <c r="Y34" i="16"/>
  <c r="Z34" i="16" s="1"/>
  <c r="Y31" i="19"/>
  <c r="Z31" i="19" s="1"/>
  <c r="W23" i="18"/>
  <c r="T27" i="15"/>
  <c r="U20" i="18"/>
  <c r="U38" i="16"/>
  <c r="V22" i="16"/>
  <c r="X71" i="18"/>
  <c r="U23" i="18"/>
  <c r="V27" i="17"/>
  <c r="U27" i="15"/>
  <c r="AB64" i="18"/>
  <c r="Y19" i="18"/>
  <c r="Z19" i="18" s="1"/>
  <c r="AC19" i="18" s="1"/>
  <c r="AH19" i="18" s="1"/>
  <c r="U29" i="16"/>
  <c r="T23" i="18"/>
  <c r="V27" i="15"/>
  <c r="U33" i="16"/>
  <c r="X21" i="16"/>
  <c r="T18" i="19"/>
  <c r="V71" i="18"/>
  <c r="AB21" i="18"/>
  <c r="Y30" i="19"/>
  <c r="Z30" i="19" s="1"/>
  <c r="AC30" i="19" s="1"/>
  <c r="Y20" i="17"/>
  <c r="Z20" i="17" s="1"/>
  <c r="AB19" i="19"/>
  <c r="X31" i="16"/>
  <c r="U57" i="18"/>
  <c r="T16" i="16"/>
  <c r="X38" i="16"/>
  <c r="Y11" i="18"/>
  <c r="Z11" i="18" s="1"/>
  <c r="X37" i="16"/>
  <c r="Y39" i="18"/>
  <c r="Z39" i="18" s="1"/>
  <c r="X33" i="16"/>
  <c r="W33" i="16"/>
  <c r="U31" i="16"/>
  <c r="W31" i="16"/>
  <c r="V18" i="17"/>
  <c r="U18" i="17"/>
  <c r="X57" i="18"/>
  <c r="U16" i="16"/>
  <c r="W18" i="19"/>
  <c r="W38" i="16"/>
  <c r="AB34" i="19"/>
  <c r="V29" i="16"/>
  <c r="W37" i="16"/>
  <c r="Y16" i="15"/>
  <c r="Z16" i="15" s="1"/>
  <c r="U37" i="16"/>
  <c r="Y40" i="18"/>
  <c r="Z40" i="18" s="1"/>
  <c r="W57" i="18"/>
  <c r="W11" i="19"/>
  <c r="V16" i="16"/>
  <c r="T27" i="16"/>
  <c r="X29" i="16"/>
  <c r="T37" i="16"/>
  <c r="AB31" i="19"/>
  <c r="AC31" i="19" s="1"/>
  <c r="T11" i="19"/>
  <c r="V11" i="19"/>
  <c r="U11" i="19"/>
  <c r="W22" i="16"/>
  <c r="T22" i="16"/>
  <c r="U23" i="16"/>
  <c r="X23" i="16"/>
  <c r="V23" i="16"/>
  <c r="T23" i="16"/>
  <c r="AC20" i="16"/>
  <c r="X40" i="15"/>
  <c r="U41" i="15"/>
  <c r="Y42" i="15"/>
  <c r="Z42" i="15" s="1"/>
  <c r="AB28" i="15"/>
  <c r="U14" i="15"/>
  <c r="T14" i="15"/>
  <c r="W11" i="15"/>
  <c r="V11" i="15"/>
  <c r="Y13" i="15"/>
  <c r="Z13" i="15" s="1"/>
  <c r="AC16" i="17"/>
  <c r="AB13" i="17"/>
  <c r="U12" i="17"/>
  <c r="AC39" i="18"/>
  <c r="T38" i="18"/>
  <c r="W38" i="18"/>
  <c r="V17" i="17"/>
  <c r="T17" i="17"/>
  <c r="W17" i="17"/>
  <c r="U17" i="17"/>
  <c r="U40" i="16"/>
  <c r="X40" i="16"/>
  <c r="V40" i="16"/>
  <c r="AB23" i="19"/>
  <c r="Y23" i="19"/>
  <c r="Z23" i="19" s="1"/>
  <c r="V42" i="16"/>
  <c r="Y25" i="18"/>
  <c r="Z25" i="18" s="1"/>
  <c r="T42" i="16"/>
  <c r="Y28" i="15"/>
  <c r="Z28" i="15" s="1"/>
  <c r="W28" i="17"/>
  <c r="AB29" i="18"/>
  <c r="X33" i="15"/>
  <c r="T28" i="17"/>
  <c r="Y46" i="18"/>
  <c r="Z46" i="18" s="1"/>
  <c r="AB46" i="18"/>
  <c r="U40" i="15"/>
  <c r="V40" i="15"/>
  <c r="V15" i="17"/>
  <c r="V21" i="16"/>
  <c r="V18" i="19"/>
  <c r="X18" i="19"/>
  <c r="AB20" i="17"/>
  <c r="Y14" i="18"/>
  <c r="Z14" i="18" s="1"/>
  <c r="T29" i="16"/>
  <c r="U11" i="15"/>
  <c r="T11" i="15"/>
  <c r="AB60" i="18"/>
  <c r="T40" i="15"/>
  <c r="W26" i="16"/>
  <c r="Y16" i="19"/>
  <c r="Z16" i="19" s="1"/>
  <c r="AB15" i="15"/>
  <c r="Y21" i="18"/>
  <c r="Z21" i="18" s="1"/>
  <c r="AB34" i="16"/>
  <c r="U56" i="18"/>
  <c r="X56" i="18"/>
  <c r="T56" i="18"/>
  <c r="V56" i="18"/>
  <c r="W56" i="18"/>
  <c r="W33" i="15"/>
  <c r="Y29" i="18"/>
  <c r="Z29" i="18" s="1"/>
  <c r="Y29" i="17"/>
  <c r="Z29" i="17" s="1"/>
  <c r="AB42" i="15"/>
  <c r="U37" i="18"/>
  <c r="W14" i="15"/>
  <c r="W42" i="16"/>
  <c r="W15" i="17"/>
  <c r="X15" i="17"/>
  <c r="V33" i="15"/>
  <c r="X15" i="19"/>
  <c r="X20" i="19"/>
  <c r="T21" i="16"/>
  <c r="U38" i="18"/>
  <c r="V20" i="18"/>
  <c r="AB25" i="18"/>
  <c r="AB13" i="19"/>
  <c r="U27" i="16"/>
  <c r="Y66" i="18"/>
  <c r="Z66" i="18" s="1"/>
  <c r="Y13" i="17"/>
  <c r="Z13" i="17" s="1"/>
  <c r="AB17" i="15"/>
  <c r="AB15" i="16"/>
  <c r="AB25" i="16"/>
  <c r="AB48" i="18"/>
  <c r="AB11" i="18"/>
  <c r="V37" i="18"/>
  <c r="T15" i="17"/>
  <c r="X20" i="18"/>
  <c r="V12" i="17"/>
  <c r="X14" i="15"/>
  <c r="U42" i="16"/>
  <c r="T33" i="15"/>
  <c r="AB59" i="18"/>
  <c r="AB36" i="18"/>
  <c r="Y31" i="15"/>
  <c r="Z31" i="15" s="1"/>
  <c r="AB40" i="18"/>
  <c r="Y60" i="18"/>
  <c r="Z60" i="18" s="1"/>
  <c r="Y43" i="15"/>
  <c r="Z43" i="15" s="1"/>
  <c r="Y34" i="19"/>
  <c r="Z34" i="19" s="1"/>
  <c r="S12" i="19"/>
  <c r="T12" i="19" s="1"/>
  <c r="Y17" i="19"/>
  <c r="Z17" i="19" s="1"/>
  <c r="AB22" i="19"/>
  <c r="AB17" i="19"/>
  <c r="AB17" i="18"/>
  <c r="AB44" i="18"/>
  <c r="AB41" i="18"/>
  <c r="AB12" i="18"/>
  <c r="Y48" i="18"/>
  <c r="Z48" i="18" s="1"/>
  <c r="Y42" i="18"/>
  <c r="Z42" i="18" s="1"/>
  <c r="AB16" i="18"/>
  <c r="X26" i="16"/>
  <c r="Y15" i="16"/>
  <c r="Z15" i="16" s="1"/>
  <c r="T11" i="16"/>
  <c r="W27" i="16"/>
  <c r="V27" i="16"/>
  <c r="Y25" i="16"/>
  <c r="Z25" i="16" s="1"/>
  <c r="X41" i="15"/>
  <c r="AB13" i="15"/>
  <c r="AB26" i="15"/>
  <c r="V41" i="15"/>
  <c r="T41" i="15"/>
  <c r="Y15" i="15"/>
  <c r="Z15" i="15" s="1"/>
  <c r="U27" i="17"/>
  <c r="W27" i="17"/>
  <c r="T27" i="17"/>
  <c r="X28" i="17"/>
  <c r="Y21" i="17"/>
  <c r="Z21" i="17" s="1"/>
  <c r="X12" i="17"/>
  <c r="AB19" i="17"/>
  <c r="AB21" i="17"/>
  <c r="AB49" i="18"/>
  <c r="AB66" i="18"/>
  <c r="AB63" i="18"/>
  <c r="T12" i="17"/>
  <c r="Y45" i="18"/>
  <c r="Z45" i="18" s="1"/>
  <c r="AB45" i="18"/>
  <c r="AB61" i="18"/>
  <c r="Y65" i="18"/>
  <c r="Z65" i="18" s="1"/>
  <c r="AB65" i="18"/>
  <c r="AB16" i="19"/>
  <c r="AB13" i="16"/>
  <c r="AB35" i="19"/>
  <c r="U11" i="16"/>
  <c r="AB11" i="17"/>
  <c r="Y11" i="17"/>
  <c r="Z11" i="17" s="1"/>
  <c r="Y30" i="15"/>
  <c r="Z30" i="15" s="1"/>
  <c r="AB45" i="15"/>
  <c r="Y32" i="15"/>
  <c r="Z32" i="15" s="1"/>
  <c r="Y41" i="18"/>
  <c r="Z41" i="18" s="1"/>
  <c r="Y18" i="18"/>
  <c r="Z18" i="18" s="1"/>
  <c r="W11" i="16"/>
  <c r="AB34" i="15"/>
  <c r="Y34" i="15"/>
  <c r="Z34" i="15" s="1"/>
  <c r="Y61" i="18"/>
  <c r="Z61" i="18" s="1"/>
  <c r="Y45" i="15"/>
  <c r="Z45" i="15" s="1"/>
  <c r="Y32" i="16"/>
  <c r="Z32" i="16" s="1"/>
  <c r="Y59" i="18"/>
  <c r="Z59" i="18" s="1"/>
  <c r="Y36" i="18"/>
  <c r="Z36" i="18" s="1"/>
  <c r="Y63" i="18"/>
  <c r="Z63" i="18" s="1"/>
  <c r="Y22" i="19"/>
  <c r="Z22" i="19" s="1"/>
  <c r="AB18" i="18"/>
  <c r="X11" i="16"/>
  <c r="V30" i="16"/>
  <c r="U30" i="16"/>
  <c r="X30" i="16"/>
  <c r="W30" i="16"/>
  <c r="T30" i="16"/>
  <c r="AB14" i="18"/>
  <c r="Y49" i="18"/>
  <c r="Z49" i="18" s="1"/>
  <c r="Y44" i="18"/>
  <c r="Z44" i="18" s="1"/>
  <c r="W36" i="16"/>
  <c r="U36" i="16"/>
  <c r="X36" i="16"/>
  <c r="T36" i="16"/>
  <c r="V36" i="16"/>
  <c r="AB32" i="16"/>
  <c r="AB32" i="15"/>
  <c r="X24" i="18"/>
  <c r="T24" i="18"/>
  <c r="W24" i="18"/>
  <c r="U24" i="18"/>
  <c r="V24" i="18"/>
  <c r="V62" i="18"/>
  <c r="X62" i="18"/>
  <c r="W62" i="18"/>
  <c r="U62" i="18"/>
  <c r="T62" i="18"/>
  <c r="Y33" i="16"/>
  <c r="Z33" i="16" s="1"/>
  <c r="T35" i="16"/>
  <c r="V35" i="16"/>
  <c r="X35" i="16"/>
  <c r="W35" i="16"/>
  <c r="U35" i="16"/>
  <c r="Y24" i="19"/>
  <c r="Z24" i="19" s="1"/>
  <c r="AB24" i="19"/>
  <c r="V26" i="18"/>
  <c r="W26" i="18"/>
  <c r="U26" i="18"/>
  <c r="T26" i="18"/>
  <c r="X26" i="18"/>
  <c r="W44" i="15"/>
  <c r="U44" i="15"/>
  <c r="T44" i="15"/>
  <c r="X44" i="15"/>
  <c r="V44" i="15"/>
  <c r="Y32" i="17"/>
  <c r="Z32" i="17" s="1"/>
  <c r="AB32" i="17"/>
  <c r="X28" i="18"/>
  <c r="V28" i="18"/>
  <c r="W28" i="18"/>
  <c r="T28" i="18"/>
  <c r="U28" i="18"/>
  <c r="V47" i="18"/>
  <c r="X47" i="18"/>
  <c r="W47" i="18"/>
  <c r="U47" i="18"/>
  <c r="T47" i="18"/>
  <c r="AB42" i="18"/>
  <c r="W41" i="16"/>
  <c r="U41" i="16"/>
  <c r="T41" i="16"/>
  <c r="V41" i="16"/>
  <c r="X41" i="16"/>
  <c r="Y34" i="18"/>
  <c r="Z34" i="18" s="1"/>
  <c r="Y21" i="19"/>
  <c r="Z21" i="19" s="1"/>
  <c r="AB21" i="19"/>
  <c r="Y55" i="18"/>
  <c r="Z55" i="18" s="1"/>
  <c r="T50" i="18"/>
  <c r="X50" i="18"/>
  <c r="W50" i="18"/>
  <c r="V50" i="18"/>
  <c r="U50" i="18"/>
  <c r="U13" i="18"/>
  <c r="V13" i="18"/>
  <c r="W13" i="18"/>
  <c r="Y18" i="15"/>
  <c r="Z18" i="15" s="1"/>
  <c r="W24" i="16"/>
  <c r="X24" i="16"/>
  <c r="V24" i="16"/>
  <c r="T24" i="16"/>
  <c r="U24" i="16"/>
  <c r="V15" i="18"/>
  <c r="U15" i="18"/>
  <c r="X15" i="18"/>
  <c r="T15" i="18"/>
  <c r="W15" i="18"/>
  <c r="Y21" i="15"/>
  <c r="Z21" i="15" s="1"/>
  <c r="AB21" i="15"/>
  <c r="AB46" i="15"/>
  <c r="Y46" i="15"/>
  <c r="Z46" i="15" s="1"/>
  <c r="AB34" i="18"/>
  <c r="X13" i="18"/>
  <c r="Y64" i="18"/>
  <c r="Z64" i="18" s="1"/>
  <c r="Y12" i="18"/>
  <c r="Z12" i="18" s="1"/>
  <c r="Y26" i="17"/>
  <c r="Z26" i="17" s="1"/>
  <c r="U22" i="18"/>
  <c r="T22" i="18"/>
  <c r="W22" i="18"/>
  <c r="X22" i="18"/>
  <c r="V22" i="18"/>
  <c r="Y26" i="15"/>
  <c r="Z26" i="15" s="1"/>
  <c r="Y17" i="18"/>
  <c r="Z17" i="18" s="1"/>
  <c r="U33" i="19"/>
  <c r="T33" i="19"/>
  <c r="W33" i="19"/>
  <c r="X33" i="19"/>
  <c r="V33" i="19"/>
  <c r="V33" i="17"/>
  <c r="T33" i="17"/>
  <c r="X33" i="17"/>
  <c r="U33" i="17"/>
  <c r="W33" i="17"/>
  <c r="Y13" i="16"/>
  <c r="Z13" i="16" s="1"/>
  <c r="Y58" i="18"/>
  <c r="Z58" i="18" s="1"/>
  <c r="AB55" i="18"/>
  <c r="AB26" i="17"/>
  <c r="U39" i="16"/>
  <c r="V39" i="16"/>
  <c r="T39" i="16"/>
  <c r="W39" i="16"/>
  <c r="X39" i="16"/>
  <c r="X29" i="19"/>
  <c r="T29" i="19"/>
  <c r="V29" i="19"/>
  <c r="W29" i="19"/>
  <c r="U29" i="19"/>
  <c r="AB18" i="15"/>
  <c r="Y27" i="18"/>
  <c r="Z27" i="18" s="1"/>
  <c r="AB27" i="18"/>
  <c r="X17" i="16"/>
  <c r="T17" i="16"/>
  <c r="U17" i="16"/>
  <c r="W17" i="16"/>
  <c r="V17" i="16"/>
  <c r="Y31" i="17"/>
  <c r="Z31" i="17" s="1"/>
  <c r="Y19" i="17"/>
  <c r="Z19" i="17" s="1"/>
  <c r="Y35" i="19"/>
  <c r="Z35" i="19" s="1"/>
  <c r="Y16" i="18"/>
  <c r="Z16" i="18" s="1"/>
  <c r="W12" i="16"/>
  <c r="U12" i="16"/>
  <c r="Y35" i="18"/>
  <c r="Z35" i="18" s="1"/>
  <c r="U12" i="15" l="1"/>
  <c r="T12" i="15"/>
  <c r="W12" i="15"/>
  <c r="V12" i="15"/>
  <c r="Y12" i="15" s="1"/>
  <c r="Z12" i="15" s="1"/>
  <c r="AC12" i="15" s="1"/>
  <c r="AB30" i="15"/>
  <c r="AB43" i="18"/>
  <c r="T26" i="16"/>
  <c r="V26" i="16"/>
  <c r="AC13" i="19"/>
  <c r="T19" i="16"/>
  <c r="W19" i="16"/>
  <c r="Y57" i="18"/>
  <c r="Z57" i="18" s="1"/>
  <c r="V12" i="16"/>
  <c r="Y12" i="16" s="1"/>
  <c r="Z12" i="16" s="1"/>
  <c r="T18" i="16"/>
  <c r="T12" i="16"/>
  <c r="AC16" i="19"/>
  <c r="AH16" i="19" s="1"/>
  <c r="U18" i="16"/>
  <c r="Y20" i="18"/>
  <c r="Z20" i="18" s="1"/>
  <c r="AC17" i="15"/>
  <c r="AH17" i="15" s="1"/>
  <c r="AC21" i="18"/>
  <c r="Y20" i="19"/>
  <c r="Z20" i="19" s="1"/>
  <c r="Y20" i="15"/>
  <c r="Z20" i="15" s="1"/>
  <c r="AB20" i="15"/>
  <c r="AC20" i="15" s="1"/>
  <c r="AB20" i="19"/>
  <c r="AC60" i="18"/>
  <c r="AH60" i="18" s="1"/>
  <c r="Y71" i="18"/>
  <c r="Z71" i="18" s="1"/>
  <c r="AB23" i="18"/>
  <c r="Y21" i="16"/>
  <c r="Z21" i="16" s="1"/>
  <c r="V18" i="16"/>
  <c r="Y18" i="16" s="1"/>
  <c r="Z18" i="16" s="1"/>
  <c r="AC18" i="16" s="1"/>
  <c r="X18" i="16"/>
  <c r="Y29" i="16"/>
  <c r="Z29" i="16" s="1"/>
  <c r="Y31" i="16"/>
  <c r="Z31" i="16" s="1"/>
  <c r="Y27" i="15"/>
  <c r="Z27" i="15" s="1"/>
  <c r="AC27" i="15" s="1"/>
  <c r="X19" i="15"/>
  <c r="T19" i="15"/>
  <c r="U19" i="15"/>
  <c r="W19" i="15"/>
  <c r="V19" i="15"/>
  <c r="Y30" i="17"/>
  <c r="Z30" i="17" s="1"/>
  <c r="AH21" i="18"/>
  <c r="AC23" i="19"/>
  <c r="AB37" i="16"/>
  <c r="AC13" i="17"/>
  <c r="Y23" i="18"/>
  <c r="Z23" i="18" s="1"/>
  <c r="AB18" i="19"/>
  <c r="AC28" i="16"/>
  <c r="AH28" i="16" s="1"/>
  <c r="AB27" i="16"/>
  <c r="AB15" i="19"/>
  <c r="AC34" i="16"/>
  <c r="AC20" i="17"/>
  <c r="AH20" i="17" s="1"/>
  <c r="AH31" i="19"/>
  <c r="Y37" i="18"/>
  <c r="Z37" i="18" s="1"/>
  <c r="AC37" i="18" s="1"/>
  <c r="AC28" i="15"/>
  <c r="AC19" i="19"/>
  <c r="AB21" i="16"/>
  <c r="AB17" i="17"/>
  <c r="AH34" i="16"/>
  <c r="AB38" i="16"/>
  <c r="Y18" i="17"/>
  <c r="Z18" i="17" s="1"/>
  <c r="AB33" i="16"/>
  <c r="AB57" i="18"/>
  <c r="AC57" i="18" s="1"/>
  <c r="AB29" i="16"/>
  <c r="AC40" i="18"/>
  <c r="Y33" i="15"/>
  <c r="Z33" i="15" s="1"/>
  <c r="Y16" i="16"/>
  <c r="Z16" i="16" s="1"/>
  <c r="AB31" i="16"/>
  <c r="AC34" i="19"/>
  <c r="AC16" i="18"/>
  <c r="AC48" i="18"/>
  <c r="AB40" i="15"/>
  <c r="AB33" i="15"/>
  <c r="AC11" i="18"/>
  <c r="Y37" i="16"/>
  <c r="Z37" i="16" s="1"/>
  <c r="AB40" i="16"/>
  <c r="AC16" i="15"/>
  <c r="Y22" i="16"/>
  <c r="Z22" i="16" s="1"/>
  <c r="AB18" i="17"/>
  <c r="Y38" i="16"/>
  <c r="Z38" i="16" s="1"/>
  <c r="AC42" i="15"/>
  <c r="Y18" i="19"/>
  <c r="Z18" i="19" s="1"/>
  <c r="AC17" i="18"/>
  <c r="AC44" i="18"/>
  <c r="AC22" i="19"/>
  <c r="Y41" i="15"/>
  <c r="Z41" i="15" s="1"/>
  <c r="AC41" i="15" s="1"/>
  <c r="AC66" i="18"/>
  <c r="AC25" i="18"/>
  <c r="X12" i="19"/>
  <c r="V12" i="19"/>
  <c r="AC14" i="19"/>
  <c r="AB11" i="19"/>
  <c r="Y11" i="19"/>
  <c r="Z11" i="19" s="1"/>
  <c r="AC58" i="18"/>
  <c r="AC35" i="18"/>
  <c r="AC36" i="18"/>
  <c r="Y13" i="18"/>
  <c r="Z13" i="18" s="1"/>
  <c r="AC12" i="18"/>
  <c r="AC14" i="18"/>
  <c r="AB22" i="16"/>
  <c r="Y23" i="16"/>
  <c r="Z23" i="16" s="1"/>
  <c r="AC23" i="16" s="1"/>
  <c r="AC15" i="16"/>
  <c r="AC16" i="16"/>
  <c r="AC14" i="16"/>
  <c r="Y40" i="15"/>
  <c r="Z40" i="15" s="1"/>
  <c r="AC43" i="15"/>
  <c r="AC29" i="15"/>
  <c r="AC31" i="15"/>
  <c r="Y27" i="17"/>
  <c r="Z27" i="17" s="1"/>
  <c r="AC29" i="17"/>
  <c r="AC31" i="17"/>
  <c r="AC13" i="15"/>
  <c r="Y14" i="15"/>
  <c r="Z14" i="15" s="1"/>
  <c r="AC14" i="15" s="1"/>
  <c r="AB11" i="15"/>
  <c r="AC15" i="15"/>
  <c r="AB15" i="17"/>
  <c r="Y38" i="18"/>
  <c r="Z38" i="18" s="1"/>
  <c r="AB38" i="18"/>
  <c r="Y17" i="17"/>
  <c r="Z17" i="17" s="1"/>
  <c r="AC11" i="17"/>
  <c r="AC35" i="19"/>
  <c r="AC43" i="18"/>
  <c r="Y40" i="16"/>
  <c r="Z40" i="16" s="1"/>
  <c r="AC29" i="18"/>
  <c r="Y42" i="16"/>
  <c r="Z42" i="16" s="1"/>
  <c r="AB28" i="17"/>
  <c r="Y11" i="15"/>
  <c r="Z11" i="15" s="1"/>
  <c r="AC71" i="18"/>
  <c r="AH71" i="18" s="1"/>
  <c r="Y15" i="17"/>
  <c r="Z15" i="17" s="1"/>
  <c r="AC46" i="18"/>
  <c r="AC19" i="17"/>
  <c r="Y12" i="17"/>
  <c r="Z12" i="17" s="1"/>
  <c r="AB42" i="16"/>
  <c r="U12" i="19"/>
  <c r="AC59" i="18"/>
  <c r="AH59" i="18" s="1"/>
  <c r="Y28" i="17"/>
  <c r="Z28" i="17" s="1"/>
  <c r="AB26" i="16"/>
  <c r="Y56" i="18"/>
  <c r="Z56" i="18" s="1"/>
  <c r="Y15" i="19"/>
  <c r="Z15" i="19" s="1"/>
  <c r="AB20" i="18"/>
  <c r="AC20" i="18" s="1"/>
  <c r="AC46" i="15"/>
  <c r="AC41" i="18"/>
  <c r="AC25" i="16"/>
  <c r="AC17" i="19"/>
  <c r="W12" i="19"/>
  <c r="AC49" i="18"/>
  <c r="AC42" i="18"/>
  <c r="AC63" i="18"/>
  <c r="AB17" i="16"/>
  <c r="Y26" i="16"/>
  <c r="Z26" i="16" s="1"/>
  <c r="AC32" i="16"/>
  <c r="AB11" i="16"/>
  <c r="Y27" i="16"/>
  <c r="Z27" i="16" s="1"/>
  <c r="AC26" i="15"/>
  <c r="AC45" i="15"/>
  <c r="AC30" i="17"/>
  <c r="AC32" i="17"/>
  <c r="AH32" i="17" s="1"/>
  <c r="AC21" i="17"/>
  <c r="AC34" i="15"/>
  <c r="AC13" i="16"/>
  <c r="AB24" i="16"/>
  <c r="AC21" i="19"/>
  <c r="AC45" i="18"/>
  <c r="AH45" i="18" s="1"/>
  <c r="AB29" i="19"/>
  <c r="Y30" i="16"/>
  <c r="Z30" i="16" s="1"/>
  <c r="AB30" i="16"/>
  <c r="AC18" i="18"/>
  <c r="AC32" i="15"/>
  <c r="AC65" i="18"/>
  <c r="Y11" i="16"/>
  <c r="Z11" i="16" s="1"/>
  <c r="Y17" i="16"/>
  <c r="Z17" i="16" s="1"/>
  <c r="AC26" i="17"/>
  <c r="AC34" i="18"/>
  <c r="Y36" i="16"/>
  <c r="Z36" i="16" s="1"/>
  <c r="AB36" i="16"/>
  <c r="AC30" i="15"/>
  <c r="AC61" i="18"/>
  <c r="AH61" i="18" s="1"/>
  <c r="Y39" i="16"/>
  <c r="Z39" i="16" s="1"/>
  <c r="AB39" i="16"/>
  <c r="Y33" i="19"/>
  <c r="Z33" i="19" s="1"/>
  <c r="AB33" i="19"/>
  <c r="Y22" i="18"/>
  <c r="Z22" i="18" s="1"/>
  <c r="AB22" i="18"/>
  <c r="Y47" i="18"/>
  <c r="Z47" i="18" s="1"/>
  <c r="AB47" i="18"/>
  <c r="Y33" i="17"/>
  <c r="Z33" i="17" s="1"/>
  <c r="AB33" i="17"/>
  <c r="Y50" i="18"/>
  <c r="Z50" i="18" s="1"/>
  <c r="AB50" i="18"/>
  <c r="Y44" i="15"/>
  <c r="Z44" i="15" s="1"/>
  <c r="AB44" i="15"/>
  <c r="Y35" i="16"/>
  <c r="Z35" i="16" s="1"/>
  <c r="AB35" i="16"/>
  <c r="Y24" i="18"/>
  <c r="Z24" i="18" s="1"/>
  <c r="AB24" i="18"/>
  <c r="Y15" i="18"/>
  <c r="Z15" i="18" s="1"/>
  <c r="AC18" i="15"/>
  <c r="AC55" i="18"/>
  <c r="Y41" i="16"/>
  <c r="Z41" i="16" s="1"/>
  <c r="AB41" i="16"/>
  <c r="Y26" i="18"/>
  <c r="Z26" i="18" s="1"/>
  <c r="AB26" i="18"/>
  <c r="AC27" i="18"/>
  <c r="Y29" i="19"/>
  <c r="Z29" i="19" s="1"/>
  <c r="AC21" i="15"/>
  <c r="Y24" i="16"/>
  <c r="Z24" i="16" s="1"/>
  <c r="Y28" i="18"/>
  <c r="Z28" i="18" s="1"/>
  <c r="AB28" i="18"/>
  <c r="AC24" i="19"/>
  <c r="Y62" i="18"/>
  <c r="Z62" i="18" s="1"/>
  <c r="AB62" i="18"/>
  <c r="AC20" i="19" l="1"/>
  <c r="AH20" i="19" s="1"/>
  <c r="AC33" i="15"/>
  <c r="AB19" i="16"/>
  <c r="Y19" i="16"/>
  <c r="Z19" i="16" s="1"/>
  <c r="AC21" i="16"/>
  <c r="AH21" i="16" s="1"/>
  <c r="AC15" i="19"/>
  <c r="AH15" i="19" s="1"/>
  <c r="AC26" i="16"/>
  <c r="AH26" i="16" s="1"/>
  <c r="AC22" i="16"/>
  <c r="AH22" i="16" s="1"/>
  <c r="AB19" i="15"/>
  <c r="Y19" i="15"/>
  <c r="Z19" i="15" s="1"/>
  <c r="AH35" i="19"/>
  <c r="AH20" i="15"/>
  <c r="AH19" i="17"/>
  <c r="AH46" i="18"/>
  <c r="AH63" i="18"/>
  <c r="AH25" i="18"/>
  <c r="AH30" i="15"/>
  <c r="AH32" i="15"/>
  <c r="AH13" i="16"/>
  <c r="AH45" i="15"/>
  <c r="AH43" i="18"/>
  <c r="AH32" i="16"/>
  <c r="AH42" i="18"/>
  <c r="AH11" i="18"/>
  <c r="AH23" i="19"/>
  <c r="AC42" i="16"/>
  <c r="AH65" i="18"/>
  <c r="AH46" i="15"/>
  <c r="AH21" i="17"/>
  <c r="AH26" i="15"/>
  <c r="AH49" i="18"/>
  <c r="AC37" i="16"/>
  <c r="AH37" i="16" s="1"/>
  <c r="AH24" i="19"/>
  <c r="AH21" i="15"/>
  <c r="AH48" i="18"/>
  <c r="AH18" i="15"/>
  <c r="AH40" i="18"/>
  <c r="AC23" i="18"/>
  <c r="AH23" i="18" s="1"/>
  <c r="AH19" i="19"/>
  <c r="AC31" i="16"/>
  <c r="AH31" i="16" s="1"/>
  <c r="AH41" i="18"/>
  <c r="AH15" i="15"/>
  <c r="AC40" i="15"/>
  <c r="AH57" i="18"/>
  <c r="AC29" i="16"/>
  <c r="AH29" i="16" s="1"/>
  <c r="AH17" i="19"/>
  <c r="AH13" i="19"/>
  <c r="AH20" i="18"/>
  <c r="AC33" i="16"/>
  <c r="AH36" i="18"/>
  <c r="AC18" i="17"/>
  <c r="AH18" i="17" s="1"/>
  <c r="AC27" i="17"/>
  <c r="AH26" i="17" s="1"/>
  <c r="AH28" i="15"/>
  <c r="AH33" i="15"/>
  <c r="AC40" i="16"/>
  <c r="AC38" i="16"/>
  <c r="AH66" i="18"/>
  <c r="AH44" i="18"/>
  <c r="AH27" i="18"/>
  <c r="AH18" i="18"/>
  <c r="AH21" i="19"/>
  <c r="AH34" i="15"/>
  <c r="AH30" i="17"/>
  <c r="AC27" i="16"/>
  <c r="AH34" i="19"/>
  <c r="AC18" i="19"/>
  <c r="AC24" i="16"/>
  <c r="AH33" i="16"/>
  <c r="AH34" i="18"/>
  <c r="AH25" i="16"/>
  <c r="AH29" i="18"/>
  <c r="AH15" i="16"/>
  <c r="AH22" i="19"/>
  <c r="AH17" i="18"/>
  <c r="AH42" i="15"/>
  <c r="AH16" i="18"/>
  <c r="AC11" i="19"/>
  <c r="AC56" i="18"/>
  <c r="AC15" i="18"/>
  <c r="AH14" i="18" s="1"/>
  <c r="AC13" i="18"/>
  <c r="AC11" i="16"/>
  <c r="AC12" i="16"/>
  <c r="AH13" i="15"/>
  <c r="AC11" i="15"/>
  <c r="AC15" i="17"/>
  <c r="AC12" i="17"/>
  <c r="AC38" i="18"/>
  <c r="AH38" i="18" s="1"/>
  <c r="AC17" i="17"/>
  <c r="AC29" i="19"/>
  <c r="AH29" i="19" s="1"/>
  <c r="AC62" i="18"/>
  <c r="AC28" i="17"/>
  <c r="AH28" i="17" s="1"/>
  <c r="AC26" i="18"/>
  <c r="AC24" i="18"/>
  <c r="AC44" i="15"/>
  <c r="AC50" i="18"/>
  <c r="Y12" i="19"/>
  <c r="Z12" i="19" s="1"/>
  <c r="AC36" i="16"/>
  <c r="AC17" i="16"/>
  <c r="AC30" i="16"/>
  <c r="AC47" i="18"/>
  <c r="AC33" i="19"/>
  <c r="AH33" i="19" s="1"/>
  <c r="AC41" i="16"/>
  <c r="AC35" i="16"/>
  <c r="AC33" i="17"/>
  <c r="AC28" i="18"/>
  <c r="AC22" i="18"/>
  <c r="AC39" i="16"/>
  <c r="AC64" i="18"/>
  <c r="AH64" i="18" s="1"/>
  <c r="AC19" i="16" l="1"/>
  <c r="AH19" i="16" s="1"/>
  <c r="AC19" i="15"/>
  <c r="AH19" i="15" s="1"/>
  <c r="AH18" i="19"/>
  <c r="AH17" i="17"/>
  <c r="AH40" i="15"/>
  <c r="AH22" i="18"/>
  <c r="AH17" i="16"/>
  <c r="AH42" i="16"/>
  <c r="AH38" i="16"/>
  <c r="AH40" i="16"/>
  <c r="AH35" i="16"/>
  <c r="AH62" i="18"/>
  <c r="AH47" i="18"/>
  <c r="AH30" i="16"/>
  <c r="AH15" i="17"/>
  <c r="AH12" i="18"/>
  <c r="AH55" i="18"/>
  <c r="AH39" i="16"/>
  <c r="AH41" i="16"/>
  <c r="AH44" i="15"/>
  <c r="AH11" i="16"/>
  <c r="AH28" i="18"/>
  <c r="AH36" i="16"/>
  <c r="AH24" i="18"/>
  <c r="AH11" i="15"/>
  <c r="AH27" i="16"/>
  <c r="AH33" i="17"/>
  <c r="AH26" i="18"/>
  <c r="AH24" i="16"/>
  <c r="AH11" i="17"/>
  <c r="AC12" i="19"/>
  <c r="AH11" i="19" s="1"/>
  <c r="AH50" i="18"/>
  <c r="N14" i="17" l="1"/>
  <c r="S14" i="17" s="1"/>
  <c r="W14" i="17" s="1"/>
  <c r="V14" i="17" l="1"/>
  <c r="U14" i="17"/>
  <c r="X14" i="17"/>
  <c r="T14" i="17"/>
  <c r="Y14" i="17" l="1"/>
  <c r="Z14" i="17" s="1"/>
  <c r="AC14" i="17" l="1"/>
  <c r="AH13" i="17" s="1"/>
</calcChain>
</file>

<file path=xl/comments1.xml><?xml version="1.0" encoding="utf-8"?>
<comments xmlns="http://schemas.openxmlformats.org/spreadsheetml/2006/main">
  <authors>
    <author>Jorge</author>
  </authors>
  <commentList>
    <comment ref="P21" authorId="0" shapeId="0">
      <text>
        <r>
          <rPr>
            <sz val="9"/>
            <color indexed="81"/>
            <rFont val="Tahoma"/>
            <family val="2"/>
          </rPr>
          <t xml:space="preserve">
DE 1 A 38 = $191,57  X HS
DE 39 A 48 = $38 X HS
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</commentList>
</comments>
</file>

<file path=xl/comments2.xml><?xml version="1.0" encoding="utf-8"?>
<comments xmlns="http://schemas.openxmlformats.org/spreadsheetml/2006/main">
  <authors>
    <author>Jorge</author>
  </authors>
  <commentList>
    <comment ref="P21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34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46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</commentList>
</comments>
</file>

<file path=xl/comments3.xml><?xml version="1.0" encoding="utf-8"?>
<comments xmlns="http://schemas.openxmlformats.org/spreadsheetml/2006/main">
  <authors>
    <author>Jorge</author>
  </authors>
  <commentList>
    <comment ref="P35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36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  <comment ref="P37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  <comment ref="P38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  <comment ref="P39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  <comment ref="P40" authorId="0" shapeId="0">
      <text>
        <r>
          <rPr>
            <sz val="9"/>
            <color indexed="81"/>
            <rFont val="Tahoma"/>
            <family val="2"/>
          </rPr>
          <t xml:space="preserve">
DE 1 A 38 = $191,57  X HS
DE 39 A 48 = $38 X HS
</t>
        </r>
      </text>
    </comment>
    <comment ref="P41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  <comment ref="P42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</commentList>
</comments>
</file>

<file path=xl/comments4.xml><?xml version="1.0" encoding="utf-8"?>
<comments xmlns="http://schemas.openxmlformats.org/spreadsheetml/2006/main">
  <authors>
    <author>Jorge</author>
  </authors>
  <commentList>
    <comment ref="P25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26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27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28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47" authorId="0" shapeId="0">
      <text>
        <r>
          <rPr>
            <sz val="9"/>
            <color indexed="81"/>
            <rFont val="Tahoma"/>
            <family val="2"/>
          </rPr>
          <t xml:space="preserve">DE 1 A 38 = $186,63  X HS
DE 39 A 48 = $37 X HS
</t>
        </r>
      </text>
    </comment>
    <comment ref="P48" authorId="0" shapeId="0">
      <text>
        <r>
          <rPr>
            <sz val="9"/>
            <color indexed="81"/>
            <rFont val="Tahoma"/>
            <family val="2"/>
          </rPr>
          <t xml:space="preserve">DE 1 A 38 = $186,63  X HS
DE 39 A 48 = $37 X HS
</t>
        </r>
      </text>
    </comment>
    <comment ref="P49" authorId="0" shapeId="0">
      <text>
        <r>
          <rPr>
            <sz val="9"/>
            <color indexed="81"/>
            <rFont val="Tahoma"/>
            <family val="2"/>
          </rPr>
          <t xml:space="preserve">DE 1 A 38 = $186,63  X HS
DE 39 A 48 = $37 X HS
</t>
        </r>
      </text>
    </comment>
    <comment ref="P50" authorId="0" shapeId="0">
      <text>
        <r>
          <rPr>
            <sz val="9"/>
            <color indexed="81"/>
            <rFont val="Tahoma"/>
            <family val="2"/>
          </rPr>
          <t xml:space="preserve">DE 1 A 38 = $186,63  X HS
DE 39 A 48 = $37 X HS
</t>
        </r>
      </text>
    </comment>
  </commentList>
</comments>
</file>

<file path=xl/comments5.xml><?xml version="1.0" encoding="utf-8"?>
<comments xmlns="http://schemas.openxmlformats.org/spreadsheetml/2006/main">
  <authors>
    <author>Jorge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 xml:space="preserve">ANTES 810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ANTES 810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ANTES 810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" authorId="0" shapeId="0">
      <text>
        <r>
          <rPr>
            <sz val="9"/>
            <color indexed="81"/>
            <rFont val="Tahoma"/>
            <family val="2"/>
          </rPr>
          <t>DE 1 A 38 = $191,57  X HS
DE 39 A 48 = $38 X HS</t>
        </r>
      </text>
    </comment>
    <comment ref="P24" authorId="0" shapeId="0">
      <text>
        <r>
          <rPr>
            <sz val="9"/>
            <color indexed="81"/>
            <rFont val="Tahoma"/>
            <family val="2"/>
          </rPr>
          <t xml:space="preserve">DE 1 A 38 = $191,57  X HS
DE 39 A 48 = $38 X HS
</t>
        </r>
      </text>
    </comment>
  </commentList>
</comments>
</file>

<file path=xl/comments6.xml><?xml version="1.0" encoding="utf-8"?>
<comments xmlns="http://schemas.openxmlformats.org/spreadsheetml/2006/main">
  <authors>
    <author>Jorge</author>
  </authors>
  <commentList>
    <comment ref="C9" authorId="0" shapeId="0">
      <text>
        <r>
          <rPr>
            <b/>
            <sz val="12"/>
            <color indexed="81"/>
            <rFont val="Helvetica"/>
          </rPr>
          <t>para los 1120 o más puntos y proprcional para puntaje menor</t>
        </r>
      </text>
    </comment>
    <comment ref="D9" authorId="0" shapeId="0">
      <text>
        <r>
          <rPr>
            <b/>
            <sz val="12"/>
            <color indexed="81"/>
            <rFont val="Helvetica"/>
          </rPr>
          <t>para los 2043 o más puntos y proprcional para puntaje menor</t>
        </r>
      </text>
    </comment>
  </commentList>
</comments>
</file>

<file path=xl/sharedStrings.xml><?xml version="1.0" encoding="utf-8"?>
<sst xmlns="http://schemas.openxmlformats.org/spreadsheetml/2006/main" count="680" uniqueCount="186">
  <si>
    <t>Denominación del cargo</t>
  </si>
  <si>
    <t>Códigos</t>
  </si>
  <si>
    <t>Director de Jardín de Infantes Independeniente</t>
  </si>
  <si>
    <t>Vicedirector</t>
  </si>
  <si>
    <t>Maestro Secretario</t>
  </si>
  <si>
    <t>Director</t>
  </si>
  <si>
    <t>Maestro Bibliotecario</t>
  </si>
  <si>
    <t>Maestro de Grado</t>
  </si>
  <si>
    <t xml:space="preserve">Hora cátedra Maestro Especial </t>
  </si>
  <si>
    <t>Hora cátedra Maestro Especial</t>
  </si>
  <si>
    <t>Maestro de Grado o Ciclo</t>
  </si>
  <si>
    <t>Maestro Materias Complementarias</t>
  </si>
  <si>
    <t>Maestro Reeducador Vocal</t>
  </si>
  <si>
    <t>Maestro Reeducador Acústico</t>
  </si>
  <si>
    <t>Maestro Asistente Social</t>
  </si>
  <si>
    <t>Maestro Psicólogo</t>
  </si>
  <si>
    <t>Preceptor</t>
  </si>
  <si>
    <t>Ayudante Clases/Trabajos Prácticos</t>
  </si>
  <si>
    <t>Hora Maestro de Grado o Grupo</t>
  </si>
  <si>
    <t>Hora Maestro Reeducador Vocal</t>
  </si>
  <si>
    <t>Hora Maestro Psicólogo</t>
  </si>
  <si>
    <t>Hora Maestro Actividades Prácticas</t>
  </si>
  <si>
    <t>Maestro Gabinetista Psicotécnico</t>
  </si>
  <si>
    <t>Hora Maestro Asistente Social</t>
  </si>
  <si>
    <t>Instructor de Enfermería</t>
  </si>
  <si>
    <t>Rector</t>
  </si>
  <si>
    <t>Director de Estudios</t>
  </si>
  <si>
    <t>Secretario</t>
  </si>
  <si>
    <t>Prosecretario</t>
  </si>
  <si>
    <t>Bibliotecario</t>
  </si>
  <si>
    <t>Jefe de Preceptores</t>
  </si>
  <si>
    <t>Sub-Jefe de Preceptores</t>
  </si>
  <si>
    <t>Ayudante de Clases Prácticas</t>
  </si>
  <si>
    <t>Hora cátedra</t>
  </si>
  <si>
    <t>Regente</t>
  </si>
  <si>
    <t>Jefe de Laboratorio</t>
  </si>
  <si>
    <t>Maestro de Enseñanza Práctica</t>
  </si>
  <si>
    <t>Maestro de Enseñanza Práctica Jefe de Sección</t>
  </si>
  <si>
    <t>Maestro Ayudante de Enseñanza Práctica</t>
  </si>
  <si>
    <t>Ayudante Técnico de Trabajos Prácticos</t>
  </si>
  <si>
    <t>Vicerrector o Director de Estudios</t>
  </si>
  <si>
    <t>Profesor Jefe de Trabajos Prácticos</t>
  </si>
  <si>
    <t>Profesor Asistente de Trabajos Prácticos</t>
  </si>
  <si>
    <t>Pro-secretario</t>
  </si>
  <si>
    <t>Bedel</t>
  </si>
  <si>
    <t>Hora Cátedra</t>
  </si>
  <si>
    <t>Ayudante de Trabajos Prácticos</t>
  </si>
  <si>
    <t>Director Jornada Completa</t>
  </si>
  <si>
    <t xml:space="preserve">Vicedirector Jornada Completa </t>
  </si>
  <si>
    <t>Director Jornada Simple</t>
  </si>
  <si>
    <t>Vicedirector Jornada Simple</t>
  </si>
  <si>
    <t>(*)</t>
  </si>
  <si>
    <t>Hora Maestro Reeducador Acústico</t>
  </si>
  <si>
    <t>Jefe General Enseñanza Práctica</t>
  </si>
  <si>
    <t xml:space="preserve">Maestro Celador </t>
  </si>
  <si>
    <t>Profesor de Enfermería (Instructor 36 horas cátedra)</t>
  </si>
  <si>
    <t>Maestro Jardinera/Sección</t>
  </si>
  <si>
    <t>Maestro de Grado o Grupo Escolar (*)</t>
  </si>
  <si>
    <t>Profesor Tiempo Parcial 1 (30 horas)</t>
  </si>
  <si>
    <t>Profesor Tiempo Parcial 2 (24 horas)</t>
  </si>
  <si>
    <t>Profesor Tiempo Parcial 3 (18 horas)</t>
  </si>
  <si>
    <t>Profesor Tiempo Parcial 4 (12 horas)</t>
  </si>
  <si>
    <t>Hora Maestro de Materias Especiales (hora cátedra)</t>
  </si>
  <si>
    <t>Retenciones por aportes personales</t>
  </si>
  <si>
    <t>Incluye Maestro Integrador (R.M. Nº 278/92)</t>
  </si>
  <si>
    <t>Obra Social 3%</t>
  </si>
  <si>
    <t>INSSJP - Ley 19032 3%</t>
  </si>
  <si>
    <t>Ley 24.016 Dec. 137/05 2%</t>
  </si>
  <si>
    <t>Caja Compl. 4,5%</t>
  </si>
  <si>
    <t>Asesor Pedagógico 36 horas</t>
  </si>
  <si>
    <t>Psicopedagogo 18 horas</t>
  </si>
  <si>
    <t>Ayudante de Orientación 16 horas</t>
  </si>
  <si>
    <t>Director de Estudios (12 horas mas de proyecto XIII)</t>
  </si>
  <si>
    <t xml:space="preserve">Total Aportes </t>
  </si>
  <si>
    <t>Total Haberes  Remunerat.</t>
  </si>
  <si>
    <t>Maestro de Apoyo</t>
  </si>
  <si>
    <t>Maestro de Grupo Escolar Auxiliar</t>
  </si>
  <si>
    <t xml:space="preserve">Preceptor/Maestro Celador </t>
  </si>
  <si>
    <t>Maestro Terapista Ocupacional</t>
  </si>
  <si>
    <t>Maestro de Actividades Prácticas</t>
  </si>
  <si>
    <t>Ayudante de Depto. de Orientación</t>
  </si>
  <si>
    <t>Psicopedagogo</t>
  </si>
  <si>
    <t>Profesor Tiempo Completo 36 horas</t>
  </si>
  <si>
    <t>AÑOS</t>
  </si>
  <si>
    <t>Maestro Secretario  EE JC</t>
  </si>
  <si>
    <t>TOTAL DE INDICES</t>
  </si>
  <si>
    <t>Maestro de Apoyo para la integración</t>
  </si>
  <si>
    <t>Interprete de Lengua de Señas</t>
  </si>
  <si>
    <t xml:space="preserve"> UTILIZAR LA GRILLA A MODO DE EJEMPLO</t>
  </si>
  <si>
    <t xml:space="preserve">Ejemplos de liquidación salarial para cargos sin antigüedad en la docencia. Al incluir antigüedades, disminuye o desaparece el monto del C.M.G. </t>
  </si>
  <si>
    <t xml:space="preserve"> Art. 128 Estatuto Docente R/ NB</t>
  </si>
  <si>
    <t>Antigüedad  Docente</t>
  </si>
  <si>
    <t>DECRETO 243/08 RB</t>
  </si>
  <si>
    <t>C.M.G.</t>
  </si>
  <si>
    <t>MDM</t>
  </si>
  <si>
    <t>SUBTOTAL NETO SIN C.M.G.</t>
  </si>
  <si>
    <t xml:space="preserve">FONID / RESOLUC. Nº 02/04 neto </t>
  </si>
  <si>
    <t>Sub Total Neto a cobrar</t>
  </si>
  <si>
    <t>TOTAL NETO A COBRAR</t>
  </si>
  <si>
    <r>
      <t>Para los cargos de Jardín se debe abonar un "</t>
    </r>
    <r>
      <rPr>
        <b/>
        <u/>
        <sz val="12"/>
        <rFont val="Cambria"/>
        <family val="1"/>
      </rPr>
      <t>suplememto no remunerativo y complementario"</t>
    </r>
    <r>
      <rPr>
        <b/>
        <sz val="12"/>
        <rFont val="Cambria"/>
        <family val="1"/>
      </rPr>
      <t xml:space="preserve"> para quienes cobren 50% de las AAFF</t>
    </r>
  </si>
  <si>
    <t>Maestro Bibliotecario (adultos tmb)</t>
  </si>
  <si>
    <t>Hora Maestro Gabinetista (M.Gdo. /20 hs)</t>
  </si>
  <si>
    <t>Hora desdoblamiento educ. fisica</t>
  </si>
  <si>
    <t>Hora nivelación idioma extranjero</t>
  </si>
  <si>
    <t xml:space="preserve">Hora de tutoría </t>
  </si>
  <si>
    <t xml:space="preserve">Hora de Jefatura de departameto </t>
  </si>
  <si>
    <t>Hora Observ. Ayud. Y Residencia</t>
  </si>
  <si>
    <t>Adicional Especial no rem no bonif 2017</t>
  </si>
  <si>
    <t xml:space="preserve">Antigüedad  Decreto 243/08 </t>
  </si>
  <si>
    <t>INDICE del Sueldo básico Unificado</t>
  </si>
  <si>
    <t>Referencias</t>
  </si>
  <si>
    <t xml:space="preserve">VALOR INDICE </t>
  </si>
  <si>
    <t>JORNADA COMPLETA</t>
  </si>
  <si>
    <t xml:space="preserve">SALARIO MINIMO DOCENTE </t>
  </si>
  <si>
    <t xml:space="preserve">MATERIAL DIDACTICO </t>
  </si>
  <si>
    <t>H. CATEDRA NIVEL SUP.</t>
  </si>
  <si>
    <t xml:space="preserve">FONID / RESOL. 02/04 NETO </t>
  </si>
  <si>
    <t>ADICIONAL HORA de 39 A 48</t>
  </si>
  <si>
    <t>DECRETO Nº 483/05 Y SUS MODIF.</t>
  </si>
  <si>
    <t>SUBVENCIOANDO</t>
  </si>
  <si>
    <t>CAJA COMPL.</t>
  </si>
  <si>
    <t xml:space="preserve">HORA CATEDRA </t>
  </si>
  <si>
    <t>TOPE HORAS CARGOS SUPERIOR</t>
  </si>
  <si>
    <t>TOPE HORAS DOS CARGOS SUPERIOR</t>
  </si>
  <si>
    <t>TOPE HORAS CARGO             J-P-M</t>
  </si>
  <si>
    <t>TOPE HORAS DOS CARGOS    J-P-M-</t>
  </si>
  <si>
    <t>CANTIDAD DE HORAS</t>
  </si>
  <si>
    <t>Asig. Estímulo Educ.  R/ NB (Presentismo)</t>
  </si>
  <si>
    <t>Valor Sueldo Básico Unificado RB</t>
  </si>
  <si>
    <t>Jardín de Infantes Común / Nivel Inicial  - JORNADA COMPLETA</t>
  </si>
  <si>
    <t>Jardín de Infantes Común / Nivel Inicial  - JORNADA SIMPLE</t>
  </si>
  <si>
    <t>INDICE       del      Sueldo básico Unificado</t>
  </si>
  <si>
    <t xml:space="preserve"> Art. 128 Estatuto Docente       R/ NB</t>
  </si>
  <si>
    <t>TABLA DE ANTIGÜEDAD</t>
  </si>
  <si>
    <t>SUBVENCIONADO</t>
  </si>
  <si>
    <t xml:space="preserve">Primaria Común - JORNADA SIMPLE </t>
  </si>
  <si>
    <t>Primaria Común - JORNADA COMPLETA</t>
  </si>
  <si>
    <t>Primaria de Adultos</t>
  </si>
  <si>
    <r>
      <t xml:space="preserve">Enseñanza Especial R.M. 278/92 </t>
    </r>
    <r>
      <rPr>
        <sz val="10"/>
        <color indexed="51"/>
        <rFont val="Helvetica"/>
        <family val="2"/>
      </rPr>
      <t>(Reglamento Enseñanza Especial)</t>
    </r>
  </si>
  <si>
    <t>Nivel Medio Común</t>
  </si>
  <si>
    <t>Nivel Medio Tiempo Completo Proyecto XIII</t>
  </si>
  <si>
    <t>Nivel Medio Técnico</t>
  </si>
  <si>
    <t>Enfermería Nivel Medio</t>
  </si>
  <si>
    <t>Nivel Superior Docente</t>
  </si>
  <si>
    <t>Nivel Superior Técnico - Enfermería</t>
  </si>
  <si>
    <t>Jardín de Infantes Común / Nivel Inicial - JORNADA SIMPLE</t>
  </si>
  <si>
    <t>Jardín de Infantes Común / Nivel Inicial- JORNADA COMPLETA</t>
  </si>
  <si>
    <t>JORNADA               SIMPLE</t>
  </si>
  <si>
    <t>Jubilación 11%</t>
  </si>
  <si>
    <t xml:space="preserve">GARANTIA MINIMA JS </t>
  </si>
  <si>
    <t xml:space="preserve">GARANTIA MINIMA JC </t>
  </si>
  <si>
    <t>ADICIONAL ESPECIAL (A)</t>
  </si>
  <si>
    <t>APORTE NAC. A MAT. DIDÁCTICO 2017</t>
  </si>
  <si>
    <t>APORTE NAC. A MAT. DIDÁCTICO 2017 de 08/17 a 12/17</t>
  </si>
  <si>
    <t>PLUS DIFERENCIAL POR JERARQUIZACIÓN</t>
  </si>
  <si>
    <t xml:space="preserve">PLUS DIFERENCIAL POR ESTABLECIMIENTO </t>
  </si>
  <si>
    <t xml:space="preserve">INDICES JERARQUIZACION </t>
  </si>
  <si>
    <t>Establecimientos Educativos de Nivel Inicial, Primario y Secundario</t>
  </si>
  <si>
    <t>1 turno y hasta 14 secciones.</t>
  </si>
  <si>
    <t>1 turno y entre 15 y 39 secciones.</t>
  </si>
  <si>
    <t>2 turnos y 40 o más secciones.</t>
  </si>
  <si>
    <t>2 turnos y hasta 29 secciones.</t>
  </si>
  <si>
    <t>2 turnos y entre 30 y 39 secciones</t>
  </si>
  <si>
    <t>3 turnos y 31 o más secciones.</t>
  </si>
  <si>
    <t>3 turnos y hasta 15 secciones.</t>
  </si>
  <si>
    <t>3 turnos y entre 16 y 30 secciones.</t>
  </si>
  <si>
    <t>Escuelas de Educación Especial</t>
  </si>
  <si>
    <t>1 turno</t>
  </si>
  <si>
    <t>2 turnos</t>
  </si>
  <si>
    <t>3 turnos</t>
  </si>
  <si>
    <t>Institutos de Formación Docente Nivel Superior</t>
  </si>
  <si>
    <t>Cargo 3509</t>
  </si>
  <si>
    <t xml:space="preserve">Primaria Adultos </t>
  </si>
  <si>
    <r>
      <t xml:space="preserve">Cargo </t>
    </r>
    <r>
      <rPr>
        <sz val="10"/>
        <rFont val="Cambria"/>
        <family val="1"/>
      </rPr>
      <t>578</t>
    </r>
  </si>
  <si>
    <t xml:space="preserve">TIPOLOGÍA I: </t>
  </si>
  <si>
    <t>TIPOLOGÍA II:</t>
  </si>
  <si>
    <t xml:space="preserve">TIPOLOGÍA III: </t>
  </si>
  <si>
    <t xml:space="preserve">Director de Jardín de Infantes </t>
  </si>
  <si>
    <t xml:space="preserve">Vicedirector  de Jardín de Infantes </t>
  </si>
  <si>
    <t xml:space="preserve">1 turno  </t>
  </si>
  <si>
    <t>ESTABLECIMINETOS EDUCATIVOS DE NIVEL INICIAL, PRIMARIO Y SECUNDARIO</t>
  </si>
  <si>
    <t>ESCUELAS DE EDUCACION ESPECIAL</t>
  </si>
  <si>
    <t>Adelanto Cláusula de Seguimiento 2017</t>
  </si>
  <si>
    <t xml:space="preserve">APORTE NAC. A MAT. DIDÁCTICO 2017 </t>
  </si>
  <si>
    <t xml:space="preserve">Adicional Especial no rem no bonif </t>
  </si>
  <si>
    <t xml:space="preserve">Grilla Salarial según ACTA ACUERDO y RESOLUCIÓN Nº 8133/18 -  desde AGOSTO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</si>
</sst>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\ #,##0.00;[Red]&quot;$&quot;\ \-#,##0.00"/>
    <numFmt numFmtId="44" formatCode="_ &quot;$&quot;\ * #,##0.00_ ;_ &quot;$&quot;\ * \-#,##0.00_ ;_ &quot;$&quot;\ * &quot;-&quot;??_ ;_ @_ "/>
    <numFmt numFmtId="164" formatCode="_ &quot;$&quot;\ * #,##0.000000000_ ;_ &quot;$&quot;\ * \-#,##0.000000000_ ;_ &quot;$&quot;\ * &quot;-&quot;??_ ;_ @_ "/>
    <numFmt numFmtId="165" formatCode="0.000"/>
    <numFmt numFmtId="166" formatCode="_ &quot;$&quot;\ * #,##0.000_ ;_ &quot;$&quot;\ * \-#,##0.000_ ;_ &quot;$&quot;\ * &quot;-&quot;??_ ;_ @_ "/>
    <numFmt numFmtId="167" formatCode="0.0000"/>
    <numFmt numFmtId="168" formatCode="_ &quot;$&quot;\ * #,##0.0000000000_ ;_ &quot;$&quot;\ * \-#,##0.0000000000_ ;_ &quot;$&quot;\ * &quot;-&quot;??_ ;_ @_ "/>
  </numFmts>
  <fonts count="41" x14ac:knownFonts="1">
    <font>
      <sz val="10"/>
      <name val="Arial"/>
    </font>
    <font>
      <sz val="10"/>
      <name val="Arial"/>
      <family val="2"/>
    </font>
    <font>
      <sz val="10"/>
      <name val="Helvetica"/>
      <family val="2"/>
    </font>
    <font>
      <sz val="10"/>
      <color indexed="10"/>
      <name val="Helvetica"/>
      <family val="2"/>
    </font>
    <font>
      <sz val="12"/>
      <name val="Helvetica"/>
      <family val="2"/>
    </font>
    <font>
      <sz val="8"/>
      <name val="Arial"/>
      <family val="2"/>
    </font>
    <font>
      <b/>
      <sz val="14"/>
      <name val="Helvetica"/>
      <family val="2"/>
    </font>
    <font>
      <b/>
      <sz val="22"/>
      <name val="Helvetica"/>
      <family val="2"/>
    </font>
    <font>
      <sz val="8"/>
      <name val="Arial"/>
      <family val="2"/>
    </font>
    <font>
      <b/>
      <sz val="28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12"/>
      <color indexed="56"/>
      <name val="Helvetica"/>
      <family val="2"/>
    </font>
    <font>
      <b/>
      <sz val="20"/>
      <name val="Helvetica"/>
      <family val="2"/>
    </font>
    <font>
      <sz val="12"/>
      <name val="Tahoma"/>
      <family val="2"/>
    </font>
    <font>
      <sz val="12"/>
      <color indexed="8"/>
      <name val="Helvetica"/>
      <family val="2"/>
    </font>
    <font>
      <sz val="12"/>
      <name val="Helvetica"/>
    </font>
    <font>
      <b/>
      <sz val="12"/>
      <name val="Cambria"/>
      <family val="1"/>
    </font>
    <font>
      <b/>
      <u/>
      <sz val="12"/>
      <name val="Cambria"/>
      <family val="1"/>
    </font>
    <font>
      <b/>
      <sz val="12"/>
      <name val="Helvetica"/>
    </font>
    <font>
      <b/>
      <sz val="11"/>
      <name val="Helvetica"/>
    </font>
    <font>
      <b/>
      <sz val="10"/>
      <name val="Helvetica"/>
    </font>
    <font>
      <sz val="48"/>
      <name val="Helvetica"/>
      <family val="2"/>
    </font>
    <font>
      <b/>
      <sz val="11"/>
      <color indexed="9"/>
      <name val="Helvetica"/>
    </font>
    <font>
      <b/>
      <sz val="24"/>
      <name val="Helvetica"/>
    </font>
    <font>
      <b/>
      <sz val="10"/>
      <color indexed="9"/>
      <name val="Helvetica"/>
    </font>
    <font>
      <sz val="10"/>
      <color indexed="51"/>
      <name val="Helvetica"/>
      <family val="2"/>
    </font>
    <font>
      <sz val="11"/>
      <name val="Helvetica"/>
      <family val="2"/>
    </font>
    <font>
      <b/>
      <sz val="16"/>
      <name val="Helvetica"/>
    </font>
    <font>
      <sz val="16"/>
      <name val="Arial"/>
      <family val="2"/>
    </font>
    <font>
      <sz val="9"/>
      <color indexed="81"/>
      <name val="Tahoma"/>
      <family val="2"/>
    </font>
    <font>
      <b/>
      <sz val="12"/>
      <color indexed="81"/>
      <name val="Helvetica"/>
    </font>
    <font>
      <b/>
      <sz val="9"/>
      <color indexed="81"/>
      <name val="Tahoma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2"/>
      <color theme="1"/>
      <name val="Helvetica"/>
      <family val="2"/>
    </font>
    <font>
      <sz val="16"/>
      <color rgb="FFFFC000"/>
      <name val="Helvetica"/>
      <family val="2"/>
    </font>
    <font>
      <sz val="16"/>
      <color rgb="FFFFC000"/>
      <name val="Helvetica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9" fontId="0" fillId="0" borderId="0" xfId="0" applyNumberFormat="1"/>
    <xf numFmtId="0" fontId="2" fillId="2" borderId="0" xfId="0" applyFont="1" applyFill="1"/>
    <xf numFmtId="44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4" fontId="2" fillId="0" borderId="0" xfId="1" applyFont="1" applyBorder="1" applyAlignment="1">
      <alignment horizontal="center" wrapText="1"/>
    </xf>
    <xf numFmtId="44" fontId="2" fillId="0" borderId="0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0" fontId="4" fillId="9" borderId="9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44" fontId="4" fillId="2" borderId="0" xfId="1" applyFont="1" applyFill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2" borderId="0" xfId="0" applyNumberFormat="1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 wrapText="1"/>
    </xf>
    <xf numFmtId="44" fontId="4" fillId="9" borderId="0" xfId="0" applyNumberFormat="1" applyFont="1" applyFill="1" applyBorder="1" applyAlignment="1">
      <alignment horizontal="center" vertical="center" wrapText="1"/>
    </xf>
    <xf numFmtId="44" fontId="13" fillId="9" borderId="0" xfId="0" applyNumberFormat="1" applyFont="1" applyFill="1" applyBorder="1" applyAlignment="1">
      <alignment horizontal="center" vertical="center" wrapText="1"/>
    </xf>
    <xf numFmtId="8" fontId="4" fillId="9" borderId="0" xfId="0" applyNumberFormat="1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44" fontId="4" fillId="9" borderId="0" xfId="1" applyFont="1" applyFill="1" applyBorder="1" applyAlignment="1">
      <alignment horizontal="center" vertical="center" wrapText="1"/>
    </xf>
    <xf numFmtId="166" fontId="4" fillId="9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8" fillId="9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center" vertical="center" wrapText="1"/>
    </xf>
    <xf numFmtId="44" fontId="4" fillId="9" borderId="1" xfId="0" applyNumberFormat="1" applyFont="1" applyFill="1" applyBorder="1" applyAlignment="1">
      <alignment horizontal="center" vertical="center" wrapText="1"/>
    </xf>
    <xf numFmtId="44" fontId="4" fillId="9" borderId="2" xfId="0" applyNumberFormat="1" applyFont="1" applyFill="1" applyBorder="1" applyAlignment="1">
      <alignment horizontal="center" vertical="center" wrapText="1"/>
    </xf>
    <xf numFmtId="44" fontId="4" fillId="9" borderId="3" xfId="0" applyNumberFormat="1" applyFont="1" applyFill="1" applyBorder="1" applyAlignment="1">
      <alignment horizontal="center" vertical="center" wrapText="1"/>
    </xf>
    <xf numFmtId="0" fontId="25" fillId="0" borderId="0" xfId="0" applyFont="1"/>
    <xf numFmtId="164" fontId="12" fillId="9" borderId="0" xfId="1" applyNumberFormat="1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/>
    </xf>
    <xf numFmtId="0" fontId="38" fillId="9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2" fontId="4" fillId="10" borderId="2" xfId="0" applyNumberFormat="1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8" fontId="4" fillId="9" borderId="2" xfId="0" applyNumberFormat="1" applyFont="1" applyFill="1" applyBorder="1" applyAlignment="1">
      <alignment horizontal="center" vertical="center" wrapText="1"/>
    </xf>
    <xf numFmtId="8" fontId="4" fillId="9" borderId="3" xfId="0" applyNumberFormat="1" applyFont="1" applyFill="1" applyBorder="1" applyAlignment="1">
      <alignment horizontal="center" vertical="center" wrapText="1"/>
    </xf>
    <xf numFmtId="8" fontId="4" fillId="9" borderId="2" xfId="0" applyNumberFormat="1" applyFont="1" applyFill="1" applyBorder="1" applyAlignment="1">
      <alignment horizontal="right" vertical="center" wrapText="1"/>
    </xf>
    <xf numFmtId="0" fontId="39" fillId="4" borderId="17" xfId="0" applyFont="1" applyFill="1" applyBorder="1" applyAlignment="1"/>
    <xf numFmtId="0" fontId="39" fillId="4" borderId="18" xfId="0" applyFont="1" applyFill="1" applyBorder="1" applyAlignment="1"/>
    <xf numFmtId="0" fontId="4" fillId="9" borderId="0" xfId="0" applyFont="1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 wrapText="1"/>
    </xf>
    <xf numFmtId="0" fontId="4" fillId="9" borderId="2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44" fontId="4" fillId="0" borderId="10" xfId="1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44" fontId="4" fillId="0" borderId="19" xfId="1" applyFont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44" fontId="4" fillId="9" borderId="19" xfId="0" applyNumberFormat="1" applyFont="1" applyFill="1" applyBorder="1" applyAlignment="1">
      <alignment horizontal="center" vertical="center" wrapText="1"/>
    </xf>
    <xf numFmtId="44" fontId="4" fillId="9" borderId="20" xfId="0" applyNumberFormat="1" applyFont="1" applyFill="1" applyBorder="1" applyAlignment="1">
      <alignment horizontal="center" vertical="center" wrapText="1"/>
    </xf>
    <xf numFmtId="44" fontId="4" fillId="9" borderId="8" xfId="0" applyNumberFormat="1" applyFont="1" applyFill="1" applyBorder="1" applyAlignment="1">
      <alignment horizontal="center" vertical="center" wrapText="1"/>
    </xf>
    <xf numFmtId="8" fontId="4" fillId="9" borderId="8" xfId="0" applyNumberFormat="1" applyFont="1" applyFill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left" wrapText="1"/>
    </xf>
    <xf numFmtId="0" fontId="15" fillId="9" borderId="2" xfId="0" applyFont="1" applyFill="1" applyBorder="1" applyAlignment="1">
      <alignment vertical="center"/>
    </xf>
    <xf numFmtId="0" fontId="17" fillId="9" borderId="3" xfId="0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44" fontId="4" fillId="2" borderId="13" xfId="0" applyNumberFormat="1" applyFont="1" applyFill="1" applyBorder="1" applyAlignment="1">
      <alignment horizontal="center"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44" fontId="4" fillId="9" borderId="2" xfId="1" applyFont="1" applyFill="1" applyBorder="1" applyAlignment="1">
      <alignment horizontal="center" vertical="center" wrapText="1"/>
    </xf>
    <xf numFmtId="44" fontId="4" fillId="9" borderId="3" xfId="1" applyFont="1" applyFill="1" applyBorder="1" applyAlignment="1">
      <alignment horizontal="center" vertical="center" wrapText="1"/>
    </xf>
    <xf numFmtId="44" fontId="16" fillId="9" borderId="2" xfId="0" applyNumberFormat="1" applyFont="1" applyFill="1" applyBorder="1" applyAlignment="1">
      <alignment horizontal="center" vertical="center" wrapText="1"/>
    </xf>
    <xf numFmtId="44" fontId="16" fillId="9" borderId="3" xfId="0" applyNumberFormat="1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vertical="center" wrapText="1"/>
    </xf>
    <xf numFmtId="0" fontId="4" fillId="9" borderId="19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left" wrapText="1"/>
    </xf>
    <xf numFmtId="0" fontId="4" fillId="9" borderId="0" xfId="0" applyFont="1" applyFill="1" applyBorder="1" applyAlignment="1">
      <alignment horizontal="center" wrapText="1"/>
    </xf>
    <xf numFmtId="44" fontId="4" fillId="2" borderId="0" xfId="0" applyNumberFormat="1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vertical="center"/>
    </xf>
    <xf numFmtId="44" fontId="4" fillId="9" borderId="0" xfId="1" applyFont="1" applyFill="1" applyBorder="1" applyAlignment="1">
      <alignment horizontal="center" wrapText="1"/>
    </xf>
    <xf numFmtId="8" fontId="4" fillId="9" borderId="0" xfId="0" applyNumberFormat="1" applyFont="1" applyFill="1" applyBorder="1" applyAlignment="1">
      <alignment horizontal="right" vertical="center" wrapText="1"/>
    </xf>
    <xf numFmtId="44" fontId="4" fillId="9" borderId="24" xfId="0" applyNumberFormat="1" applyFont="1" applyFill="1" applyBorder="1" applyAlignment="1">
      <alignment horizontal="center" vertical="center" wrapText="1"/>
    </xf>
    <xf numFmtId="44" fontId="4" fillId="9" borderId="25" xfId="0" applyNumberFormat="1" applyFont="1" applyFill="1" applyBorder="1" applyAlignment="1">
      <alignment horizontal="center" vertical="center" wrapText="1"/>
    </xf>
    <xf numFmtId="0" fontId="39" fillId="4" borderId="0" xfId="0" applyFont="1" applyFill="1" applyBorder="1" applyAlignment="1"/>
    <xf numFmtId="0" fontId="39" fillId="4" borderId="26" xfId="0" applyFont="1" applyFill="1" applyBorder="1" applyAlignment="1"/>
    <xf numFmtId="0" fontId="39" fillId="4" borderId="27" xfId="0" applyFont="1" applyFill="1" applyBorder="1" applyAlignment="1"/>
    <xf numFmtId="0" fontId="39" fillId="4" borderId="28" xfId="0" applyFont="1" applyFill="1" applyBorder="1" applyAlignment="1">
      <alignment wrapText="1"/>
    </xf>
    <xf numFmtId="2" fontId="2" fillId="0" borderId="0" xfId="0" applyNumberFormat="1" applyFont="1" applyAlignment="1">
      <alignment wrapText="1"/>
    </xf>
    <xf numFmtId="164" fontId="12" fillId="9" borderId="29" xfId="1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5" fillId="0" borderId="30" xfId="0" applyFont="1" applyBorder="1"/>
    <xf numFmtId="0" fontId="29" fillId="0" borderId="29" xfId="0" applyFont="1" applyBorder="1"/>
    <xf numFmtId="0" fontId="39" fillId="11" borderId="17" xfId="0" applyFont="1" applyFill="1" applyBorder="1" applyAlignment="1"/>
    <xf numFmtId="0" fontId="2" fillId="11" borderId="0" xfId="0" applyFont="1" applyFill="1"/>
    <xf numFmtId="0" fontId="39" fillId="11" borderId="18" xfId="0" applyFont="1" applyFill="1" applyBorder="1" applyAlignment="1"/>
    <xf numFmtId="0" fontId="39" fillId="11" borderId="31" xfId="0" applyFont="1" applyFill="1" applyBorder="1" applyAlignment="1"/>
    <xf numFmtId="0" fontId="24" fillId="3" borderId="28" xfId="0" applyFont="1" applyFill="1" applyBorder="1" applyAlignment="1">
      <alignment horizontal="center" vertical="center" wrapText="1"/>
    </xf>
    <xf numFmtId="44" fontId="4" fillId="0" borderId="32" xfId="0" applyNumberFormat="1" applyFont="1" applyBorder="1" applyAlignment="1">
      <alignment horizontal="center" vertical="center" wrapText="1"/>
    </xf>
    <xf numFmtId="44" fontId="4" fillId="9" borderId="33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44" fontId="4" fillId="9" borderId="12" xfId="0" applyNumberFormat="1" applyFont="1" applyFill="1" applyBorder="1" applyAlignment="1">
      <alignment horizontal="center" vertical="center" wrapText="1"/>
    </xf>
    <xf numFmtId="44" fontId="4" fillId="9" borderId="32" xfId="0" applyNumberFormat="1" applyFont="1" applyFill="1" applyBorder="1" applyAlignment="1">
      <alignment horizontal="center" vertical="center" wrapText="1"/>
    </xf>
    <xf numFmtId="44" fontId="4" fillId="9" borderId="13" xfId="0" applyNumberFormat="1" applyFont="1" applyFill="1" applyBorder="1" applyAlignment="1">
      <alignment horizontal="center" vertical="center" wrapText="1"/>
    </xf>
    <xf numFmtId="44" fontId="4" fillId="9" borderId="22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44" fontId="4" fillId="9" borderId="34" xfId="0" applyNumberFormat="1" applyFont="1" applyFill="1" applyBorder="1" applyAlignment="1">
      <alignment horizontal="center" vertical="center" wrapText="1"/>
    </xf>
    <xf numFmtId="44" fontId="4" fillId="9" borderId="7" xfId="0" applyNumberFormat="1" applyFont="1" applyFill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 wrapText="1"/>
    </xf>
    <xf numFmtId="44" fontId="4" fillId="0" borderId="22" xfId="0" applyNumberFormat="1" applyFont="1" applyBorder="1" applyAlignment="1">
      <alignment horizontal="center" vertical="center" wrapText="1"/>
    </xf>
    <xf numFmtId="44" fontId="4" fillId="9" borderId="35" xfId="0" applyNumberFormat="1" applyFont="1" applyFill="1" applyBorder="1" applyAlignment="1">
      <alignment horizontal="center" vertical="center" wrapText="1"/>
    </xf>
    <xf numFmtId="44" fontId="4" fillId="9" borderId="36" xfId="0" applyNumberFormat="1" applyFont="1" applyFill="1" applyBorder="1" applyAlignment="1">
      <alignment horizontal="center" vertical="center" wrapText="1"/>
    </xf>
    <xf numFmtId="44" fontId="4" fillId="0" borderId="24" xfId="0" applyNumberFormat="1" applyFont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30" fillId="0" borderId="0" xfId="0" applyFont="1"/>
    <xf numFmtId="0" fontId="28" fillId="9" borderId="22" xfId="0" applyFont="1" applyFill="1" applyBorder="1" applyAlignment="1">
      <alignment horizontal="left" wrapText="1"/>
    </xf>
    <xf numFmtId="0" fontId="28" fillId="9" borderId="36" xfId="0" applyFont="1" applyFill="1" applyBorder="1" applyAlignment="1">
      <alignment horizontal="left" wrapText="1"/>
    </xf>
    <xf numFmtId="0" fontId="29" fillId="0" borderId="29" xfId="0" applyFont="1" applyBorder="1" applyAlignment="1">
      <alignment horizontal="center" vertical="top" wrapText="1"/>
    </xf>
    <xf numFmtId="8" fontId="4" fillId="9" borderId="9" xfId="0" applyNumberFormat="1" applyFont="1" applyFill="1" applyBorder="1" applyAlignment="1">
      <alignment horizontal="center" vertical="center" wrapText="1"/>
    </xf>
    <xf numFmtId="8" fontId="4" fillId="9" borderId="13" xfId="0" applyNumberFormat="1" applyFont="1" applyFill="1" applyBorder="1" applyAlignment="1">
      <alignment horizontal="center" vertical="center" wrapText="1"/>
    </xf>
    <xf numFmtId="8" fontId="4" fillId="9" borderId="9" xfId="0" applyNumberFormat="1" applyFont="1" applyFill="1" applyBorder="1" applyAlignment="1">
      <alignment horizontal="right" vertical="center" wrapText="1"/>
    </xf>
    <xf numFmtId="44" fontId="4" fillId="9" borderId="27" xfId="0" applyNumberFormat="1" applyFont="1" applyFill="1" applyBorder="1" applyAlignment="1">
      <alignment horizontal="center" vertical="center" wrapText="1"/>
    </xf>
    <xf numFmtId="8" fontId="4" fillId="9" borderId="13" xfId="0" applyNumberFormat="1" applyFont="1" applyFill="1" applyBorder="1" applyAlignment="1">
      <alignment horizontal="right" vertical="center" wrapText="1"/>
    </xf>
    <xf numFmtId="168" fontId="14" fillId="12" borderId="37" xfId="1" applyNumberFormat="1" applyFont="1" applyFill="1" applyBorder="1" applyAlignment="1">
      <alignment horizontal="center" vertical="center" wrapText="1"/>
    </xf>
    <xf numFmtId="2" fontId="10" fillId="12" borderId="29" xfId="0" applyNumberFormat="1" applyFont="1" applyFill="1" applyBorder="1" applyAlignment="1">
      <alignment horizontal="center" vertical="center" wrapText="1"/>
    </xf>
    <xf numFmtId="165" fontId="10" fillId="12" borderId="29" xfId="0" applyNumberFormat="1" applyFont="1" applyFill="1" applyBorder="1" applyAlignment="1">
      <alignment horizontal="center" vertical="center" wrapText="1"/>
    </xf>
    <xf numFmtId="167" fontId="10" fillId="12" borderId="29" xfId="0" applyNumberFormat="1" applyFont="1" applyFill="1" applyBorder="1" applyAlignment="1">
      <alignment horizontal="center" vertical="center" wrapText="1"/>
    </xf>
    <xf numFmtId="165" fontId="10" fillId="12" borderId="29" xfId="1" applyNumberFormat="1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44" fontId="4" fillId="0" borderId="38" xfId="0" applyNumberFormat="1" applyFont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9" borderId="7" xfId="0" applyFont="1" applyFill="1" applyBorder="1" applyAlignment="1">
      <alignment horizontal="center" vertical="center"/>
    </xf>
    <xf numFmtId="8" fontId="4" fillId="9" borderId="10" xfId="0" applyNumberFormat="1" applyFont="1" applyFill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justify" vertical="center" wrapText="1"/>
    </xf>
    <xf numFmtId="0" fontId="35" fillId="0" borderId="12" xfId="0" applyFont="1" applyBorder="1" applyAlignment="1">
      <alignment horizontal="justify" vertical="center" wrapText="1"/>
    </xf>
    <xf numFmtId="0" fontId="34" fillId="0" borderId="27" xfId="0" applyFont="1" applyBorder="1" applyAlignment="1">
      <alignment horizontal="center" vertical="center" wrapText="1"/>
    </xf>
    <xf numFmtId="9" fontId="35" fillId="0" borderId="3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7" fillId="0" borderId="12" xfId="0" applyFont="1" applyBorder="1" applyAlignment="1">
      <alignment horizontal="center" vertical="center" wrapText="1"/>
    </xf>
    <xf numFmtId="44" fontId="4" fillId="9" borderId="10" xfId="0" applyNumberFormat="1" applyFont="1" applyFill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0" fontId="38" fillId="9" borderId="19" xfId="0" applyFont="1" applyFill="1" applyBorder="1" applyAlignment="1">
      <alignment horizontal="center" vertical="center"/>
    </xf>
    <xf numFmtId="44" fontId="4" fillId="0" borderId="32" xfId="1" applyFont="1" applyBorder="1" applyAlignment="1">
      <alignment horizontal="center" vertical="center" wrapText="1"/>
    </xf>
    <xf numFmtId="44" fontId="4" fillId="9" borderId="16" xfId="0" applyNumberFormat="1" applyFont="1" applyFill="1" applyBorder="1" applyAlignment="1">
      <alignment horizontal="center" vertical="center" wrapText="1"/>
    </xf>
    <xf numFmtId="44" fontId="4" fillId="0" borderId="16" xfId="0" applyNumberFormat="1" applyFont="1" applyBorder="1" applyAlignment="1">
      <alignment horizontal="center" vertical="center" wrapText="1"/>
    </xf>
    <xf numFmtId="44" fontId="4" fillId="0" borderId="33" xfId="1" applyFont="1" applyBorder="1" applyAlignment="1">
      <alignment horizontal="center" vertical="center" wrapText="1"/>
    </xf>
    <xf numFmtId="8" fontId="4" fillId="9" borderId="32" xfId="0" applyNumberFormat="1" applyFont="1" applyFill="1" applyBorder="1" applyAlignment="1">
      <alignment horizontal="center" vertical="center" wrapText="1"/>
    </xf>
    <xf numFmtId="44" fontId="4" fillId="9" borderId="40" xfId="0" applyNumberFormat="1" applyFont="1" applyFill="1" applyBorder="1" applyAlignment="1">
      <alignment horizontal="center" vertical="center" wrapText="1"/>
    </xf>
    <xf numFmtId="44" fontId="4" fillId="0" borderId="25" xfId="0" applyNumberFormat="1" applyFont="1" applyBorder="1" applyAlignment="1">
      <alignment horizontal="center" vertical="center" wrapText="1"/>
    </xf>
    <xf numFmtId="44" fontId="4" fillId="9" borderId="48" xfId="0" applyNumberFormat="1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left" vertical="center"/>
    </xf>
    <xf numFmtId="8" fontId="4" fillId="9" borderId="32" xfId="0" applyNumberFormat="1" applyFont="1" applyFill="1" applyBorder="1" applyAlignment="1">
      <alignment horizontal="right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44" fontId="4" fillId="0" borderId="36" xfId="0" applyNumberFormat="1" applyFont="1" applyBorder="1" applyAlignment="1">
      <alignment horizontal="center" vertical="center" wrapText="1"/>
    </xf>
    <xf numFmtId="44" fontId="4" fillId="0" borderId="33" xfId="0" applyNumberFormat="1" applyFont="1" applyBorder="1" applyAlignment="1">
      <alignment horizontal="center" vertical="center" wrapText="1"/>
    </xf>
    <xf numFmtId="8" fontId="4" fillId="9" borderId="19" xfId="0" applyNumberFormat="1" applyFont="1" applyFill="1" applyBorder="1" applyAlignment="1">
      <alignment horizontal="right" vertical="center" wrapText="1"/>
    </xf>
    <xf numFmtId="44" fontId="4" fillId="9" borderId="51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44" fontId="4" fillId="0" borderId="16" xfId="1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44" fontId="4" fillId="0" borderId="40" xfId="0" applyNumberFormat="1" applyFont="1" applyBorder="1" applyAlignment="1">
      <alignment horizontal="center" vertical="center" wrapText="1"/>
    </xf>
    <xf numFmtId="0" fontId="4" fillId="9" borderId="15" xfId="0" applyFont="1" applyFill="1" applyBorder="1" applyAlignment="1">
      <alignment vertical="center" wrapText="1"/>
    </xf>
    <xf numFmtId="44" fontId="4" fillId="0" borderId="7" xfId="1" applyFont="1" applyBorder="1" applyAlignment="1">
      <alignment horizontal="center" vertical="center" wrapText="1"/>
    </xf>
    <xf numFmtId="0" fontId="4" fillId="9" borderId="54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44" fontId="4" fillId="9" borderId="52" xfId="0" applyNumberFormat="1" applyFont="1" applyFill="1" applyBorder="1" applyAlignment="1">
      <alignment horizontal="center" vertical="center" wrapText="1"/>
    </xf>
    <xf numFmtId="44" fontId="4" fillId="9" borderId="15" xfId="0" applyNumberFormat="1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 wrapText="1"/>
    </xf>
    <xf numFmtId="0" fontId="2" fillId="9" borderId="24" xfId="0" applyFont="1" applyFill="1" applyBorder="1" applyAlignment="1">
      <alignment vertical="center" wrapText="1"/>
    </xf>
    <xf numFmtId="0" fontId="4" fillId="9" borderId="25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horizontal="center" vertical="center" wrapText="1"/>
    </xf>
    <xf numFmtId="0" fontId="17" fillId="9" borderId="5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vertical="center"/>
    </xf>
    <xf numFmtId="44" fontId="4" fillId="0" borderId="17" xfId="1" applyFont="1" applyBorder="1" applyAlignment="1">
      <alignment horizontal="center" vertical="center" wrapText="1"/>
    </xf>
    <xf numFmtId="44" fontId="4" fillId="2" borderId="17" xfId="0" applyNumberFormat="1" applyFont="1" applyFill="1" applyBorder="1" applyAlignment="1">
      <alignment horizontal="center" vertical="center" wrapText="1"/>
    </xf>
    <xf numFmtId="44" fontId="4" fillId="0" borderId="17" xfId="0" applyNumberFormat="1" applyFont="1" applyBorder="1" applyAlignment="1">
      <alignment horizontal="center" vertical="center" wrapText="1"/>
    </xf>
    <xf numFmtId="44" fontId="4" fillId="9" borderId="31" xfId="0" applyNumberFormat="1" applyFont="1" applyFill="1" applyBorder="1" applyAlignment="1">
      <alignment horizontal="center" vertical="center" wrapText="1"/>
    </xf>
    <xf numFmtId="44" fontId="4" fillId="0" borderId="52" xfId="0" applyNumberFormat="1" applyFont="1" applyFill="1" applyBorder="1" applyAlignment="1">
      <alignment horizontal="center" vertical="center" wrapText="1"/>
    </xf>
    <xf numFmtId="44" fontId="4" fillId="0" borderId="16" xfId="0" applyNumberFormat="1" applyFont="1" applyFill="1" applyBorder="1" applyAlignment="1">
      <alignment horizontal="center" vertical="center" wrapText="1"/>
    </xf>
    <xf numFmtId="44" fontId="4" fillId="9" borderId="17" xfId="0" applyNumberFormat="1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>
      <alignment horizontal="center" wrapText="1"/>
    </xf>
    <xf numFmtId="0" fontId="4" fillId="9" borderId="59" xfId="0" applyFont="1" applyFill="1" applyBorder="1" applyAlignment="1">
      <alignment horizontal="center" vertical="center" wrapText="1"/>
    </xf>
    <xf numFmtId="0" fontId="4" fillId="9" borderId="6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44" fontId="4" fillId="9" borderId="19" xfId="1" applyFont="1" applyFill="1" applyBorder="1" applyAlignment="1">
      <alignment horizontal="center" vertical="center" wrapText="1"/>
    </xf>
    <xf numFmtId="44" fontId="16" fillId="9" borderId="19" xfId="0" applyNumberFormat="1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left" vertical="center"/>
    </xf>
    <xf numFmtId="0" fontId="4" fillId="9" borderId="24" xfId="0" applyFont="1" applyFill="1" applyBorder="1" applyAlignment="1">
      <alignment vertical="center"/>
    </xf>
    <xf numFmtId="0" fontId="4" fillId="9" borderId="25" xfId="0" applyFont="1" applyFill="1" applyBorder="1" applyAlignment="1">
      <alignment vertical="center"/>
    </xf>
    <xf numFmtId="44" fontId="16" fillId="9" borderId="33" xfId="0" applyNumberFormat="1" applyFont="1" applyFill="1" applyBorder="1" applyAlignment="1">
      <alignment horizontal="center" vertical="center" wrapText="1"/>
    </xf>
    <xf numFmtId="44" fontId="16" fillId="9" borderId="24" xfId="0" applyNumberFormat="1" applyFont="1" applyFill="1" applyBorder="1" applyAlignment="1">
      <alignment horizontal="center" vertical="center" wrapText="1"/>
    </xf>
    <xf numFmtId="44" fontId="16" fillId="9" borderId="25" xfId="0" applyNumberFormat="1" applyFont="1" applyFill="1" applyBorder="1" applyAlignment="1">
      <alignment horizontal="center" vertical="center" wrapText="1"/>
    </xf>
    <xf numFmtId="44" fontId="4" fillId="9" borderId="61" xfId="0" applyNumberFormat="1" applyFont="1" applyFill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9" borderId="0" xfId="1" applyFont="1" applyFill="1" applyAlignment="1">
      <alignment horizontal="center" wrapText="1"/>
    </xf>
    <xf numFmtId="0" fontId="10" fillId="12" borderId="29" xfId="0" applyFont="1" applyFill="1" applyBorder="1" applyAlignment="1">
      <alignment horizontal="center" vertical="center" wrapText="1"/>
    </xf>
    <xf numFmtId="44" fontId="2" fillId="12" borderId="0" xfId="1" applyFont="1" applyFill="1" applyAlignment="1">
      <alignment horizontal="center" wrapText="1"/>
    </xf>
    <xf numFmtId="8" fontId="4" fillId="9" borderId="23" xfId="0" applyNumberFormat="1" applyFont="1" applyFill="1" applyBorder="1" applyAlignment="1">
      <alignment horizontal="center" vertical="center" wrapText="1"/>
    </xf>
    <xf numFmtId="8" fontId="4" fillId="9" borderId="25" xfId="0" applyNumberFormat="1" applyFont="1" applyFill="1" applyBorder="1" applyAlignment="1">
      <alignment horizontal="center" vertical="center" wrapText="1"/>
    </xf>
    <xf numFmtId="8" fontId="4" fillId="9" borderId="33" xfId="0" applyNumberFormat="1" applyFont="1" applyFill="1" applyBorder="1" applyAlignment="1">
      <alignment horizontal="center" vertical="center" wrapText="1"/>
    </xf>
    <xf numFmtId="8" fontId="4" fillId="9" borderId="24" xfId="0" applyNumberFormat="1" applyFont="1" applyFill="1" applyBorder="1" applyAlignment="1">
      <alignment horizontal="center" vertical="center" wrapText="1"/>
    </xf>
    <xf numFmtId="8" fontId="4" fillId="9" borderId="39" xfId="0" applyNumberFormat="1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44" fontId="4" fillId="13" borderId="1" xfId="1" applyFont="1" applyFill="1" applyBorder="1" applyAlignment="1">
      <alignment horizontal="center" vertical="center" wrapText="1"/>
    </xf>
    <xf numFmtId="44" fontId="4" fillId="13" borderId="11" xfId="1" applyFont="1" applyFill="1" applyBorder="1" applyAlignment="1">
      <alignment horizontal="center" vertical="center" wrapText="1"/>
    </xf>
    <xf numFmtId="44" fontId="4" fillId="13" borderId="1" xfId="0" applyNumberFormat="1" applyFont="1" applyFill="1" applyBorder="1" applyAlignment="1">
      <alignment horizontal="center" vertical="center" wrapText="1"/>
    </xf>
    <xf numFmtId="44" fontId="4" fillId="13" borderId="23" xfId="1" applyFont="1" applyFill="1" applyBorder="1" applyAlignment="1">
      <alignment horizontal="center" vertical="center" wrapText="1"/>
    </xf>
    <xf numFmtId="44" fontId="4" fillId="13" borderId="23" xfId="0" applyNumberFormat="1" applyFont="1" applyFill="1" applyBorder="1" applyAlignment="1">
      <alignment horizontal="center" vertical="center" wrapText="1"/>
    </xf>
    <xf numFmtId="44" fontId="4" fillId="13" borderId="11" xfId="0" applyNumberFormat="1" applyFont="1" applyFill="1" applyBorder="1" applyAlignment="1">
      <alignment horizontal="center" vertical="center" wrapText="1"/>
    </xf>
    <xf numFmtId="44" fontId="4" fillId="13" borderId="21" xfId="0" applyNumberFormat="1" applyFont="1" applyFill="1" applyBorder="1" applyAlignment="1">
      <alignment horizontal="center" vertical="center" wrapText="1"/>
    </xf>
    <xf numFmtId="8" fontId="4" fillId="13" borderId="1" xfId="0" applyNumberFormat="1" applyFont="1" applyFill="1" applyBorder="1" applyAlignment="1">
      <alignment horizontal="center" vertical="center" wrapText="1"/>
    </xf>
    <xf numFmtId="0" fontId="38" fillId="13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vertical="center"/>
    </xf>
    <xf numFmtId="0" fontId="4" fillId="13" borderId="12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44" fontId="4" fillId="13" borderId="12" xfId="1" applyFont="1" applyFill="1" applyBorder="1" applyAlignment="1">
      <alignment horizontal="center" vertical="center" wrapText="1"/>
    </xf>
    <xf numFmtId="44" fontId="4" fillId="13" borderId="38" xfId="1" applyFont="1" applyFill="1" applyBorder="1" applyAlignment="1">
      <alignment horizontal="center" vertical="center" wrapText="1"/>
    </xf>
    <xf numFmtId="44" fontId="4" fillId="13" borderId="12" xfId="0" applyNumberFormat="1" applyFont="1" applyFill="1" applyBorder="1" applyAlignment="1">
      <alignment horizontal="center" vertical="center" wrapText="1"/>
    </xf>
    <xf numFmtId="44" fontId="4" fillId="13" borderId="27" xfId="1" applyFont="1" applyFill="1" applyBorder="1" applyAlignment="1">
      <alignment horizontal="center" vertical="center" wrapText="1"/>
    </xf>
    <xf numFmtId="44" fontId="4" fillId="13" borderId="7" xfId="0" applyNumberFormat="1" applyFont="1" applyFill="1" applyBorder="1" applyAlignment="1">
      <alignment horizontal="center" vertical="center" wrapText="1"/>
    </xf>
    <xf numFmtId="44" fontId="4" fillId="13" borderId="34" xfId="0" applyNumberFormat="1" applyFont="1" applyFill="1" applyBorder="1" applyAlignment="1">
      <alignment horizontal="center" vertical="center" wrapText="1"/>
    </xf>
    <xf numFmtId="44" fontId="4" fillId="13" borderId="14" xfId="0" applyNumberFormat="1" applyFont="1" applyFill="1" applyBorder="1" applyAlignment="1">
      <alignment horizontal="center" vertical="center" wrapText="1"/>
    </xf>
    <xf numFmtId="44" fontId="4" fillId="13" borderId="36" xfId="0" applyNumberFormat="1" applyFont="1" applyFill="1" applyBorder="1" applyAlignment="1">
      <alignment horizontal="center" vertical="center" wrapText="1"/>
    </xf>
    <xf numFmtId="8" fontId="4" fillId="13" borderId="12" xfId="0" applyNumberFormat="1" applyFont="1" applyFill="1" applyBorder="1" applyAlignment="1">
      <alignment horizontal="center" vertical="center" wrapText="1"/>
    </xf>
    <xf numFmtId="44" fontId="4" fillId="13" borderId="26" xfId="0" applyNumberFormat="1" applyFont="1" applyFill="1" applyBorder="1" applyAlignment="1">
      <alignment horizontal="center" vertical="center" wrapText="1"/>
    </xf>
    <xf numFmtId="44" fontId="4" fillId="13" borderId="3" xfId="0" applyNumberFormat="1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44" fontId="4" fillId="15" borderId="1" xfId="1" applyFont="1" applyFill="1" applyBorder="1" applyAlignment="1">
      <alignment horizontal="center" vertical="center" wrapText="1"/>
    </xf>
    <xf numFmtId="44" fontId="4" fillId="15" borderId="11" xfId="1" applyFont="1" applyFill="1" applyBorder="1" applyAlignment="1">
      <alignment horizontal="center" vertical="center" wrapText="1"/>
    </xf>
    <xf numFmtId="44" fontId="4" fillId="15" borderId="1" xfId="0" applyNumberFormat="1" applyFont="1" applyFill="1" applyBorder="1" applyAlignment="1">
      <alignment horizontal="center" vertical="center" wrapText="1"/>
    </xf>
    <xf numFmtId="44" fontId="4" fillId="15" borderId="23" xfId="1" applyFont="1" applyFill="1" applyBorder="1" applyAlignment="1">
      <alignment horizontal="center" vertical="center" wrapText="1"/>
    </xf>
    <xf numFmtId="44" fontId="4" fillId="15" borderId="11" xfId="0" applyNumberFormat="1" applyFont="1" applyFill="1" applyBorder="1" applyAlignment="1">
      <alignment horizontal="center" vertical="center" wrapText="1"/>
    </xf>
    <xf numFmtId="44" fontId="4" fillId="15" borderId="21" xfId="0" applyNumberFormat="1" applyFont="1" applyFill="1" applyBorder="1" applyAlignment="1">
      <alignment horizontal="center" vertical="center" wrapText="1"/>
    </xf>
    <xf numFmtId="44" fontId="4" fillId="15" borderId="23" xfId="0" applyNumberFormat="1" applyFont="1" applyFill="1" applyBorder="1" applyAlignment="1">
      <alignment horizontal="center" vertical="center" wrapText="1"/>
    </xf>
    <xf numFmtId="8" fontId="4" fillId="15" borderId="1" xfId="0" applyNumberFormat="1" applyFont="1" applyFill="1" applyBorder="1" applyAlignment="1">
      <alignment horizontal="center" vertical="center" wrapText="1"/>
    </xf>
    <xf numFmtId="0" fontId="3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44" fontId="4" fillId="15" borderId="3" xfId="1" applyFont="1" applyFill="1" applyBorder="1" applyAlignment="1">
      <alignment horizontal="center" vertical="center" wrapText="1"/>
    </xf>
    <xf numFmtId="44" fontId="4" fillId="15" borderId="13" xfId="1" applyFont="1" applyFill="1" applyBorder="1" applyAlignment="1">
      <alignment horizontal="center" vertical="center" wrapText="1"/>
    </xf>
    <xf numFmtId="44" fontId="4" fillId="15" borderId="12" xfId="0" applyNumberFormat="1" applyFont="1" applyFill="1" applyBorder="1" applyAlignment="1">
      <alignment horizontal="center" vertical="center" wrapText="1"/>
    </xf>
    <xf numFmtId="44" fontId="4" fillId="15" borderId="25" xfId="1" applyFont="1" applyFill="1" applyBorder="1" applyAlignment="1">
      <alignment horizontal="center" vertical="center" wrapText="1"/>
    </xf>
    <xf numFmtId="44" fontId="4" fillId="15" borderId="3" xfId="0" applyNumberFormat="1" applyFont="1" applyFill="1" applyBorder="1" applyAlignment="1">
      <alignment horizontal="center" vertical="center" wrapText="1"/>
    </xf>
    <xf numFmtId="44" fontId="4" fillId="15" borderId="13" xfId="0" applyNumberFormat="1" applyFont="1" applyFill="1" applyBorder="1" applyAlignment="1">
      <alignment horizontal="center" vertical="center" wrapText="1"/>
    </xf>
    <xf numFmtId="44" fontId="4" fillId="15" borderId="36" xfId="0" applyNumberFormat="1" applyFont="1" applyFill="1" applyBorder="1" applyAlignment="1">
      <alignment horizontal="center" vertical="center" wrapText="1"/>
    </xf>
    <xf numFmtId="44" fontId="4" fillId="15" borderId="25" xfId="0" applyNumberFormat="1" applyFont="1" applyFill="1" applyBorder="1" applyAlignment="1">
      <alignment horizontal="center" vertical="center" wrapText="1"/>
    </xf>
    <xf numFmtId="8" fontId="4" fillId="15" borderId="3" xfId="0" applyNumberFormat="1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44" xfId="0" applyFont="1" applyFill="1" applyBorder="1" applyAlignment="1">
      <alignment horizontal="center" vertical="center" wrapText="1"/>
    </xf>
    <xf numFmtId="0" fontId="4" fillId="13" borderId="42" xfId="0" applyFont="1" applyFill="1" applyBorder="1" applyAlignment="1">
      <alignment horizontal="center" vertical="center" wrapText="1"/>
    </xf>
    <xf numFmtId="0" fontId="4" fillId="14" borderId="46" xfId="0" applyFont="1" applyFill="1" applyBorder="1" applyAlignment="1">
      <alignment horizontal="center" vertical="center" wrapText="1"/>
    </xf>
    <xf numFmtId="44" fontId="4" fillId="13" borderId="3" xfId="1" applyFont="1" applyFill="1" applyBorder="1" applyAlignment="1">
      <alignment horizontal="center" vertical="center" wrapText="1"/>
    </xf>
    <xf numFmtId="44" fontId="4" fillId="13" borderId="13" xfId="0" applyNumberFormat="1" applyFont="1" applyFill="1" applyBorder="1" applyAlignment="1">
      <alignment horizontal="center" vertical="center" wrapText="1"/>
    </xf>
    <xf numFmtId="44" fontId="4" fillId="13" borderId="25" xfId="0" applyNumberFormat="1" applyFont="1" applyFill="1" applyBorder="1" applyAlignment="1">
      <alignment horizontal="center" vertical="center" wrapText="1"/>
    </xf>
    <xf numFmtId="0" fontId="38" fillId="17" borderId="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center" vertical="center" wrapText="1"/>
    </xf>
    <xf numFmtId="0" fontId="4" fillId="17" borderId="43" xfId="0" applyFont="1" applyFill="1" applyBorder="1" applyAlignment="1">
      <alignment horizontal="center" vertical="center" wrapText="1"/>
    </xf>
    <xf numFmtId="0" fontId="4" fillId="17" borderId="41" xfId="0" applyFont="1" applyFill="1" applyBorder="1" applyAlignment="1">
      <alignment horizontal="center" vertical="center" wrapText="1"/>
    </xf>
    <xf numFmtId="0" fontId="4" fillId="18" borderId="45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vertical="justify" wrapText="1"/>
    </xf>
    <xf numFmtId="44" fontId="4" fillId="17" borderId="1" xfId="1" applyFont="1" applyFill="1" applyBorder="1" applyAlignment="1">
      <alignment horizontal="center" vertical="center" wrapText="1"/>
    </xf>
    <xf numFmtId="44" fontId="4" fillId="17" borderId="21" xfId="0" applyNumberFormat="1" applyFont="1" applyFill="1" applyBorder="1" applyAlignment="1">
      <alignment horizontal="center" vertical="center" wrapText="1"/>
    </xf>
    <xf numFmtId="44" fontId="4" fillId="17" borderId="1" xfId="0" applyNumberFormat="1" applyFont="1" applyFill="1" applyBorder="1" applyAlignment="1">
      <alignment horizontal="center" vertical="center" wrapText="1"/>
    </xf>
    <xf numFmtId="44" fontId="4" fillId="17" borderId="43" xfId="0" applyNumberFormat="1" applyFont="1" applyFill="1" applyBorder="1" applyAlignment="1">
      <alignment horizontal="center" vertical="center" wrapText="1"/>
    </xf>
    <xf numFmtId="44" fontId="4" fillId="17" borderId="45" xfId="0" applyNumberFormat="1" applyFont="1" applyFill="1" applyBorder="1" applyAlignment="1">
      <alignment horizontal="center" vertical="center" wrapText="1"/>
    </xf>
    <xf numFmtId="44" fontId="4" fillId="17" borderId="11" xfId="0" applyNumberFormat="1" applyFont="1" applyFill="1" applyBorder="1" applyAlignment="1">
      <alignment horizontal="center" vertical="center" wrapText="1"/>
    </xf>
    <xf numFmtId="44" fontId="4" fillId="17" borderId="23" xfId="0" applyNumberFormat="1" applyFont="1" applyFill="1" applyBorder="1" applyAlignment="1">
      <alignment horizontal="center" vertical="center" wrapText="1"/>
    </xf>
    <xf numFmtId="8" fontId="4" fillId="17" borderId="1" xfId="0" applyNumberFormat="1" applyFont="1" applyFill="1" applyBorder="1" applyAlignment="1">
      <alignment horizontal="center" vertical="center" wrapText="1"/>
    </xf>
    <xf numFmtId="0" fontId="38" fillId="17" borderId="3" xfId="0" applyFont="1" applyFill="1" applyBorder="1" applyAlignment="1">
      <alignment horizontal="center" vertical="center"/>
    </xf>
    <xf numFmtId="0" fontId="28" fillId="17" borderId="3" xfId="0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center" vertical="center" wrapText="1"/>
    </xf>
    <xf numFmtId="0" fontId="4" fillId="18" borderId="46" xfId="0" applyFont="1" applyFill="1" applyBorder="1" applyAlignment="1">
      <alignment horizontal="center" vertical="center" wrapText="1"/>
    </xf>
    <xf numFmtId="0" fontId="0" fillId="17" borderId="0" xfId="0" applyFill="1"/>
    <xf numFmtId="44" fontId="4" fillId="17" borderId="3" xfId="1" applyFont="1" applyFill="1" applyBorder="1" applyAlignment="1">
      <alignment horizontal="center" vertical="center" wrapText="1"/>
    </xf>
    <xf numFmtId="44" fontId="4" fillId="17" borderId="36" xfId="0" applyNumberFormat="1" applyFont="1" applyFill="1" applyBorder="1" applyAlignment="1">
      <alignment horizontal="center" vertical="center" wrapText="1"/>
    </xf>
    <xf numFmtId="44" fontId="4" fillId="17" borderId="3" xfId="0" applyNumberFormat="1" applyFont="1" applyFill="1" applyBorder="1" applyAlignment="1">
      <alignment horizontal="center" vertical="center" wrapText="1"/>
    </xf>
    <xf numFmtId="44" fontId="4" fillId="17" borderId="44" xfId="0" applyNumberFormat="1" applyFont="1" applyFill="1" applyBorder="1" applyAlignment="1">
      <alignment horizontal="center" vertical="center" wrapText="1"/>
    </xf>
    <xf numFmtId="44" fontId="4" fillId="17" borderId="46" xfId="0" applyNumberFormat="1" applyFont="1" applyFill="1" applyBorder="1" applyAlignment="1">
      <alignment horizontal="center" vertical="center" wrapText="1"/>
    </xf>
    <xf numFmtId="44" fontId="4" fillId="17" borderId="13" xfId="0" applyNumberFormat="1" applyFont="1" applyFill="1" applyBorder="1" applyAlignment="1">
      <alignment horizontal="center" vertical="center" wrapText="1"/>
    </xf>
    <xf numFmtId="44" fontId="4" fillId="17" borderId="25" xfId="0" applyNumberFormat="1" applyFont="1" applyFill="1" applyBorder="1" applyAlignment="1">
      <alignment horizontal="center" vertical="center" wrapText="1"/>
    </xf>
    <xf numFmtId="8" fontId="4" fillId="17" borderId="3" xfId="0" applyNumberFormat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left" vertical="center"/>
    </xf>
    <xf numFmtId="0" fontId="2" fillId="17" borderId="1" xfId="0" applyFont="1" applyFill="1" applyBorder="1"/>
    <xf numFmtId="44" fontId="4" fillId="17" borderId="11" xfId="1" applyFont="1" applyFill="1" applyBorder="1" applyAlignment="1">
      <alignment horizontal="center" vertical="center" wrapText="1"/>
    </xf>
    <xf numFmtId="8" fontId="4" fillId="17" borderId="1" xfId="0" applyNumberFormat="1" applyFont="1" applyFill="1" applyBorder="1" applyAlignment="1">
      <alignment horizontal="right" vertical="center" wrapText="1"/>
    </xf>
    <xf numFmtId="8" fontId="4" fillId="17" borderId="11" xfId="0" applyNumberFormat="1" applyFont="1" applyFill="1" applyBorder="1" applyAlignment="1">
      <alignment horizontal="center" vertical="center" wrapText="1"/>
    </xf>
    <xf numFmtId="8" fontId="4" fillId="17" borderId="23" xfId="0" applyNumberFormat="1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left" vertical="center"/>
    </xf>
    <xf numFmtId="44" fontId="4" fillId="17" borderId="13" xfId="1" applyFont="1" applyFill="1" applyBorder="1" applyAlignment="1">
      <alignment horizontal="center" vertical="center" wrapText="1"/>
    </xf>
    <xf numFmtId="8" fontId="4" fillId="17" borderId="3" xfId="0" applyNumberFormat="1" applyFont="1" applyFill="1" applyBorder="1" applyAlignment="1">
      <alignment horizontal="right" vertical="center" wrapText="1"/>
    </xf>
    <xf numFmtId="8" fontId="4" fillId="17" borderId="13" xfId="0" applyNumberFormat="1" applyFont="1" applyFill="1" applyBorder="1" applyAlignment="1">
      <alignment horizontal="center" vertical="center" wrapText="1"/>
    </xf>
    <xf numFmtId="8" fontId="4" fillId="17" borderId="25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6" borderId="45" xfId="0" applyFont="1" applyFill="1" applyBorder="1" applyAlignment="1">
      <alignment horizontal="center" vertical="center" wrapText="1"/>
    </xf>
    <xf numFmtId="8" fontId="4" fillId="15" borderId="1" xfId="0" applyNumberFormat="1" applyFont="1" applyFill="1" applyBorder="1" applyAlignment="1">
      <alignment horizontal="right" vertical="center" wrapText="1"/>
    </xf>
    <xf numFmtId="8" fontId="4" fillId="15" borderId="11" xfId="0" applyNumberFormat="1" applyFont="1" applyFill="1" applyBorder="1" applyAlignment="1">
      <alignment horizontal="center" vertical="center" wrapText="1"/>
    </xf>
    <xf numFmtId="8" fontId="4" fillId="15" borderId="23" xfId="0" applyNumberFormat="1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6" borderId="46" xfId="0" applyFont="1" applyFill="1" applyBorder="1" applyAlignment="1">
      <alignment horizontal="center" vertical="center" wrapText="1"/>
    </xf>
    <xf numFmtId="8" fontId="4" fillId="15" borderId="3" xfId="0" applyNumberFormat="1" applyFont="1" applyFill="1" applyBorder="1" applyAlignment="1">
      <alignment horizontal="right" vertical="center" wrapText="1"/>
    </xf>
    <xf numFmtId="8" fontId="4" fillId="15" borderId="13" xfId="0" applyNumberFormat="1" applyFont="1" applyFill="1" applyBorder="1" applyAlignment="1">
      <alignment horizontal="center" vertical="center" wrapText="1"/>
    </xf>
    <xf numFmtId="8" fontId="4" fillId="15" borderId="25" xfId="0" applyNumberFormat="1" applyFont="1" applyFill="1" applyBorder="1" applyAlignment="1">
      <alignment horizontal="center" vertical="center" wrapText="1"/>
    </xf>
    <xf numFmtId="0" fontId="4" fillId="15" borderId="47" xfId="0" applyFont="1" applyFill="1" applyBorder="1" applyAlignment="1">
      <alignment horizontal="center" vertical="center"/>
    </xf>
    <xf numFmtId="0" fontId="4" fillId="15" borderId="49" xfId="0" applyFont="1" applyFill="1" applyBorder="1" applyAlignment="1">
      <alignment horizontal="left" vertical="center"/>
    </xf>
    <xf numFmtId="0" fontId="4" fillId="15" borderId="48" xfId="0" applyFont="1" applyFill="1" applyBorder="1" applyAlignment="1">
      <alignment horizontal="center" vertical="center"/>
    </xf>
    <xf numFmtId="0" fontId="4" fillId="15" borderId="50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0" fontId="2" fillId="13" borderId="1" xfId="0" applyFont="1" applyFill="1" applyBorder="1"/>
    <xf numFmtId="8" fontId="4" fillId="13" borderId="1" xfId="0" applyNumberFormat="1" applyFont="1" applyFill="1" applyBorder="1" applyAlignment="1">
      <alignment horizontal="right" vertical="center" wrapText="1"/>
    </xf>
    <xf numFmtId="8" fontId="4" fillId="13" borderId="11" xfId="0" applyNumberFormat="1" applyFont="1" applyFill="1" applyBorder="1" applyAlignment="1">
      <alignment horizontal="center" vertical="center" wrapText="1"/>
    </xf>
    <xf numFmtId="8" fontId="4" fillId="13" borderId="23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left" vertical="center"/>
    </xf>
    <xf numFmtId="44" fontId="4" fillId="13" borderId="13" xfId="1" applyFont="1" applyFill="1" applyBorder="1" applyAlignment="1">
      <alignment horizontal="center" vertical="center" wrapText="1"/>
    </xf>
    <xf numFmtId="8" fontId="4" fillId="13" borderId="3" xfId="0" applyNumberFormat="1" applyFont="1" applyFill="1" applyBorder="1" applyAlignment="1">
      <alignment horizontal="right" vertical="center" wrapText="1"/>
    </xf>
    <xf numFmtId="8" fontId="4" fillId="13" borderId="13" xfId="0" applyNumberFormat="1" applyFont="1" applyFill="1" applyBorder="1" applyAlignment="1">
      <alignment horizontal="center" vertical="center" wrapText="1"/>
    </xf>
    <xf numFmtId="8" fontId="4" fillId="13" borderId="25" xfId="0" applyNumberFormat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vertical="center"/>
    </xf>
    <xf numFmtId="0" fontId="4" fillId="18" borderId="3" xfId="0" applyFont="1" applyFill="1" applyBorder="1" applyAlignment="1">
      <alignment horizontal="center" vertical="center" wrapText="1"/>
    </xf>
    <xf numFmtId="44" fontId="4" fillId="15" borderId="24" xfId="0" applyNumberFormat="1" applyFont="1" applyFill="1" applyBorder="1" applyAlignment="1">
      <alignment horizontal="center" vertical="center" wrapText="1"/>
    </xf>
    <xf numFmtId="44" fontId="4" fillId="15" borderId="2" xfId="0" applyNumberFormat="1" applyFont="1" applyFill="1" applyBorder="1" applyAlignment="1">
      <alignment horizontal="center" vertical="center" wrapText="1"/>
    </xf>
    <xf numFmtId="44" fontId="4" fillId="15" borderId="9" xfId="0" applyNumberFormat="1" applyFont="1" applyFill="1" applyBorder="1" applyAlignment="1">
      <alignment horizontal="center" vertical="center" wrapText="1"/>
    </xf>
    <xf numFmtId="0" fontId="0" fillId="15" borderId="3" xfId="0" applyFill="1" applyBorder="1"/>
    <xf numFmtId="44" fontId="4" fillId="13" borderId="24" xfId="0" applyNumberFormat="1" applyFont="1" applyFill="1" applyBorder="1" applyAlignment="1">
      <alignment horizontal="center" vertical="center" wrapText="1"/>
    </xf>
    <xf numFmtId="44" fontId="4" fillId="13" borderId="2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 wrapText="1"/>
    </xf>
    <xf numFmtId="0" fontId="0" fillId="13" borderId="3" xfId="0" applyFill="1" applyBorder="1"/>
    <xf numFmtId="8" fontId="4" fillId="15" borderId="34" xfId="0" applyNumberFormat="1" applyFont="1" applyFill="1" applyBorder="1" applyAlignment="1">
      <alignment horizontal="center" vertical="center" wrapText="1"/>
    </xf>
    <xf numFmtId="44" fontId="4" fillId="17" borderId="24" xfId="0" applyNumberFormat="1" applyFont="1" applyFill="1" applyBorder="1" applyAlignment="1">
      <alignment horizontal="center" vertical="center" wrapText="1"/>
    </xf>
    <xf numFmtId="44" fontId="4" fillId="17" borderId="2" xfId="0" applyNumberFormat="1" applyFont="1" applyFill="1" applyBorder="1" applyAlignment="1">
      <alignment horizontal="center" vertical="center" wrapText="1"/>
    </xf>
    <xf numFmtId="8" fontId="4" fillId="17" borderId="2" xfId="0" applyNumberFormat="1" applyFont="1" applyFill="1" applyBorder="1" applyAlignment="1">
      <alignment horizontal="right" vertical="center" wrapText="1"/>
    </xf>
    <xf numFmtId="44" fontId="4" fillId="17" borderId="9" xfId="0" applyNumberFormat="1" applyFont="1" applyFill="1" applyBorder="1" applyAlignment="1">
      <alignment horizontal="center" vertical="center" wrapText="1"/>
    </xf>
    <xf numFmtId="8" fontId="4" fillId="13" borderId="2" xfId="0" applyNumberFormat="1" applyFont="1" applyFill="1" applyBorder="1" applyAlignment="1">
      <alignment horizontal="right" vertical="center" wrapText="1"/>
    </xf>
    <xf numFmtId="44" fontId="4" fillId="15" borderId="19" xfId="0" applyNumberFormat="1" applyFont="1" applyFill="1" applyBorder="1" applyAlignment="1">
      <alignment horizontal="center" vertical="center" wrapText="1"/>
    </xf>
    <xf numFmtId="8" fontId="4" fillId="15" borderId="2" xfId="0" applyNumberFormat="1" applyFont="1" applyFill="1" applyBorder="1" applyAlignment="1">
      <alignment horizontal="right" vertical="center" wrapText="1"/>
    </xf>
    <xf numFmtId="0" fontId="4" fillId="17" borderId="11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  <xf numFmtId="9" fontId="4" fillId="17" borderId="3" xfId="0" applyNumberFormat="1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8" fontId="4" fillId="13" borderId="34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vertical="center" wrapText="1"/>
    </xf>
    <xf numFmtId="0" fontId="17" fillId="18" borderId="41" xfId="0" applyFont="1" applyFill="1" applyBorder="1" applyAlignment="1">
      <alignment horizontal="center" vertical="center" wrapText="1"/>
    </xf>
    <xf numFmtId="0" fontId="17" fillId="17" borderId="49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4" fillId="17" borderId="55" xfId="0" applyFont="1" applyFill="1" applyBorder="1" applyAlignment="1">
      <alignment horizontal="center" vertical="center" wrapText="1"/>
    </xf>
    <xf numFmtId="0" fontId="4" fillId="17" borderId="53" xfId="0" applyFont="1" applyFill="1" applyBorder="1" applyAlignment="1">
      <alignment horizontal="center" vertical="center" wrapText="1"/>
    </xf>
    <xf numFmtId="0" fontId="17" fillId="18" borderId="53" xfId="0" applyFont="1" applyFill="1" applyBorder="1" applyAlignment="1">
      <alignment horizontal="center" vertical="center" wrapText="1"/>
    </xf>
    <xf numFmtId="0" fontId="17" fillId="17" borderId="57" xfId="0" applyFont="1" applyFill="1" applyBorder="1" applyAlignment="1">
      <alignment horizontal="center" vertical="center" wrapText="1"/>
    </xf>
    <xf numFmtId="44" fontId="4" fillId="17" borderId="7" xfId="1" applyFont="1" applyFill="1" applyBorder="1" applyAlignment="1">
      <alignment horizontal="center" vertical="center" wrapText="1"/>
    </xf>
    <xf numFmtId="44" fontId="4" fillId="17" borderId="7" xfId="0" applyNumberFormat="1" applyFont="1" applyFill="1" applyBorder="1" applyAlignment="1">
      <alignment horizontal="center" vertical="center" wrapText="1"/>
    </xf>
    <xf numFmtId="44" fontId="4" fillId="17" borderId="14" xfId="0" applyNumberFormat="1" applyFont="1" applyFill="1" applyBorder="1" applyAlignment="1">
      <alignment horizontal="center" vertical="center" wrapText="1"/>
    </xf>
    <xf numFmtId="44" fontId="4" fillId="17" borderId="34" xfId="0" applyNumberFormat="1" applyFont="1" applyFill="1" applyBorder="1" applyAlignment="1">
      <alignment horizontal="center" vertical="center" wrapText="1"/>
    </xf>
    <xf numFmtId="44" fontId="4" fillId="17" borderId="35" xfId="0" applyNumberFormat="1" applyFont="1" applyFill="1" applyBorder="1" applyAlignment="1">
      <alignment horizontal="center" vertical="center" wrapText="1"/>
    </xf>
    <xf numFmtId="8" fontId="4" fillId="17" borderId="34" xfId="0" applyNumberFormat="1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vertical="center" wrapText="1"/>
    </xf>
    <xf numFmtId="0" fontId="17" fillId="16" borderId="41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vertical="center" wrapText="1"/>
    </xf>
    <xf numFmtId="0" fontId="17" fillId="16" borderId="42" xfId="0" applyFont="1" applyFill="1" applyBorder="1" applyAlignment="1">
      <alignment horizontal="center" vertical="center" wrapText="1"/>
    </xf>
    <xf numFmtId="0" fontId="17" fillId="15" borderId="50" xfId="0" applyFont="1" applyFill="1" applyBorder="1" applyAlignment="1">
      <alignment horizontal="center" vertical="center" wrapText="1"/>
    </xf>
    <xf numFmtId="0" fontId="0" fillId="15" borderId="12" xfId="0" applyFill="1" applyBorder="1"/>
    <xf numFmtId="44" fontId="4" fillId="15" borderId="7" xfId="0" applyNumberFormat="1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vertical="center" wrapText="1"/>
    </xf>
    <xf numFmtId="0" fontId="17" fillId="14" borderId="41" xfId="0" applyFont="1" applyFill="1" applyBorder="1" applyAlignment="1">
      <alignment horizontal="center" vertical="center" wrapText="1"/>
    </xf>
    <xf numFmtId="0" fontId="17" fillId="13" borderId="49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vertical="center" wrapText="1"/>
    </xf>
    <xf numFmtId="0" fontId="17" fillId="14" borderId="42" xfId="0" applyFont="1" applyFill="1" applyBorder="1" applyAlignment="1">
      <alignment horizontal="center" vertical="center" wrapText="1"/>
    </xf>
    <xf numFmtId="0" fontId="17" fillId="13" borderId="50" xfId="0" applyFont="1" applyFill="1" applyBorder="1" applyAlignment="1">
      <alignment horizontal="center" vertical="center" wrapText="1"/>
    </xf>
    <xf numFmtId="0" fontId="0" fillId="13" borderId="12" xfId="0" applyFill="1" applyBorder="1"/>
    <xf numFmtId="0" fontId="15" fillId="15" borderId="1" xfId="0" applyFont="1" applyFill="1" applyBorder="1" applyAlignment="1">
      <alignment horizontal="center" vertical="center" wrapText="1"/>
    </xf>
    <xf numFmtId="0" fontId="15" fillId="15" borderId="11" xfId="0" applyFont="1" applyFill="1" applyBorder="1" applyAlignment="1">
      <alignment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vertical="center" wrapText="1"/>
    </xf>
    <xf numFmtId="0" fontId="17" fillId="18" borderId="42" xfId="0" applyFont="1" applyFill="1" applyBorder="1" applyAlignment="1">
      <alignment horizontal="center" vertical="center" wrapText="1"/>
    </xf>
    <xf numFmtId="0" fontId="17" fillId="17" borderId="50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 vertical="center" wrapText="1"/>
    </xf>
    <xf numFmtId="0" fontId="17" fillId="17" borderId="3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44" fontId="4" fillId="13" borderId="19" xfId="1" applyFont="1" applyFill="1" applyBorder="1" applyAlignment="1">
      <alignment horizontal="center" vertical="center" wrapText="1"/>
    </xf>
    <xf numFmtId="44" fontId="4" fillId="13" borderId="32" xfId="1" applyFont="1" applyFill="1" applyBorder="1" applyAlignment="1">
      <alignment horizontal="center" vertical="center" wrapText="1"/>
    </xf>
    <xf numFmtId="44" fontId="4" fillId="13" borderId="32" xfId="0" applyNumberFormat="1" applyFont="1" applyFill="1" applyBorder="1" applyAlignment="1">
      <alignment horizontal="center" vertical="center" wrapText="1"/>
    </xf>
    <xf numFmtId="44" fontId="4" fillId="13" borderId="33" xfId="0" applyNumberFormat="1" applyFont="1" applyFill="1" applyBorder="1" applyAlignment="1">
      <alignment horizontal="center" vertical="center" wrapText="1"/>
    </xf>
    <xf numFmtId="44" fontId="4" fillId="13" borderId="19" xfId="0" applyNumberFormat="1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0" fillId="13" borderId="27" xfId="0" applyFill="1" applyBorder="1"/>
    <xf numFmtId="0" fontId="17" fillId="16" borderId="1" xfId="0" applyFont="1" applyFill="1" applyBorder="1" applyAlignment="1">
      <alignment horizontal="center" vertical="center" wrapText="1"/>
    </xf>
    <xf numFmtId="0" fontId="17" fillId="16" borderId="3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center" wrapText="1"/>
    </xf>
    <xf numFmtId="44" fontId="4" fillId="17" borderId="1" xfId="1" applyFont="1" applyFill="1" applyBorder="1" applyAlignment="1">
      <alignment horizontal="center" wrapText="1"/>
    </xf>
    <xf numFmtId="44" fontId="4" fillId="17" borderId="1" xfId="0" applyNumberFormat="1" applyFont="1" applyFill="1" applyBorder="1" applyAlignment="1">
      <alignment horizontal="center" wrapText="1"/>
    </xf>
    <xf numFmtId="0" fontId="4" fillId="17" borderId="3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vertical="center" wrapText="1"/>
    </xf>
    <xf numFmtId="44" fontId="4" fillId="15" borderId="22" xfId="0" applyNumberFormat="1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44" fontId="4" fillId="13" borderId="22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left" vertical="center" wrapText="1"/>
    </xf>
    <xf numFmtId="8" fontId="4" fillId="17" borderId="11" xfId="0" applyNumberFormat="1" applyFont="1" applyFill="1" applyBorder="1" applyAlignment="1">
      <alignment horizontal="right" vertical="center" wrapText="1"/>
    </xf>
    <xf numFmtId="0" fontId="4" fillId="17" borderId="48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left" vertical="center" wrapText="1"/>
    </xf>
    <xf numFmtId="0" fontId="4" fillId="17" borderId="12" xfId="0" applyFont="1" applyFill="1" applyBorder="1" applyAlignment="1">
      <alignment horizontal="center" wrapText="1"/>
    </xf>
    <xf numFmtId="0" fontId="4" fillId="18" borderId="12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wrapText="1"/>
    </xf>
    <xf numFmtId="8" fontId="4" fillId="13" borderId="11" xfId="0" applyNumberFormat="1" applyFont="1" applyFill="1" applyBorder="1" applyAlignment="1">
      <alignment horizontal="right" vertical="center" wrapText="1"/>
    </xf>
    <xf numFmtId="0" fontId="4" fillId="13" borderId="36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center" wrapText="1"/>
    </xf>
    <xf numFmtId="0" fontId="0" fillId="13" borderId="26" xfId="0" applyFill="1" applyBorder="1"/>
    <xf numFmtId="0" fontId="4" fillId="17" borderId="12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vertical="center"/>
    </xf>
    <xf numFmtId="0" fontId="4" fillId="17" borderId="23" xfId="0" applyFont="1" applyFill="1" applyBorder="1" applyAlignment="1">
      <alignment horizontal="left" vertical="center"/>
    </xf>
    <xf numFmtId="0" fontId="16" fillId="17" borderId="1" xfId="0" applyFont="1" applyFill="1" applyBorder="1" applyAlignment="1">
      <alignment horizontal="center" vertical="center" wrapText="1"/>
    </xf>
    <xf numFmtId="44" fontId="16" fillId="17" borderId="1" xfId="0" applyNumberFormat="1" applyFont="1" applyFill="1" applyBorder="1" applyAlignment="1">
      <alignment horizontal="center" vertical="center" wrapText="1"/>
    </xf>
    <xf numFmtId="44" fontId="4" fillId="17" borderId="47" xfId="0" applyNumberFormat="1" applyFont="1" applyFill="1" applyBorder="1" applyAlignment="1">
      <alignment horizontal="center" vertical="center" wrapText="1"/>
    </xf>
    <xf numFmtId="44" fontId="16" fillId="17" borderId="23" xfId="0" applyNumberFormat="1" applyFont="1" applyFill="1" applyBorder="1" applyAlignment="1">
      <alignment horizontal="center" vertical="center" wrapText="1"/>
    </xf>
    <xf numFmtId="0" fontId="4" fillId="17" borderId="25" xfId="0" applyFont="1" applyFill="1" applyBorder="1" applyAlignment="1">
      <alignment horizontal="left" vertical="center"/>
    </xf>
    <xf numFmtId="0" fontId="16" fillId="17" borderId="3" xfId="0" applyFont="1" applyFill="1" applyBorder="1" applyAlignment="1">
      <alignment horizontal="center" vertical="center" wrapText="1"/>
    </xf>
    <xf numFmtId="44" fontId="4" fillId="17" borderId="48" xfId="0" applyNumberFormat="1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 wrapText="1"/>
    </xf>
    <xf numFmtId="44" fontId="16" fillId="13" borderId="1" xfId="0" applyNumberFormat="1" applyFont="1" applyFill="1" applyBorder="1" applyAlignment="1">
      <alignment horizontal="center" vertical="center" wrapText="1"/>
    </xf>
    <xf numFmtId="44" fontId="4" fillId="13" borderId="47" xfId="0" applyNumberFormat="1" applyFont="1" applyFill="1" applyBorder="1" applyAlignment="1">
      <alignment horizontal="center" vertical="center" wrapText="1"/>
    </xf>
    <xf numFmtId="44" fontId="16" fillId="13" borderId="23" xfId="0" applyNumberFormat="1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left" vertical="center"/>
    </xf>
    <xf numFmtId="0" fontId="16" fillId="13" borderId="3" xfId="0" applyFont="1" applyFill="1" applyBorder="1" applyAlignment="1">
      <alignment horizontal="center" vertical="center" wrapText="1"/>
    </xf>
    <xf numFmtId="44" fontId="4" fillId="13" borderId="48" xfId="0" applyNumberFormat="1" applyFont="1" applyFill="1" applyBorder="1" applyAlignment="1">
      <alignment horizontal="center" vertical="center" wrapText="1"/>
    </xf>
    <xf numFmtId="8" fontId="4" fillId="13" borderId="3" xfId="0" applyNumberFormat="1" applyFont="1" applyFill="1" applyBorder="1" applyAlignment="1">
      <alignment horizontal="center" vertical="center" wrapText="1"/>
    </xf>
    <xf numFmtId="8" fontId="4" fillId="9" borderId="19" xfId="0" applyNumberFormat="1" applyFont="1" applyFill="1" applyBorder="1" applyAlignment="1">
      <alignment horizontal="center" vertical="center" wrapText="1"/>
    </xf>
    <xf numFmtId="8" fontId="4" fillId="13" borderId="2" xfId="0" applyNumberFormat="1" applyFont="1" applyFill="1" applyBorder="1" applyAlignment="1">
      <alignment horizontal="center" vertical="center" wrapText="1"/>
    </xf>
    <xf numFmtId="8" fontId="4" fillId="15" borderId="2" xfId="0" applyNumberFormat="1" applyFont="1" applyFill="1" applyBorder="1" applyAlignment="1">
      <alignment horizontal="center" vertical="center" wrapText="1"/>
    </xf>
    <xf numFmtId="8" fontId="4" fillId="17" borderId="7" xfId="0" applyNumberFormat="1" applyFont="1" applyFill="1" applyBorder="1" applyAlignment="1">
      <alignment horizontal="center" vertical="center" wrapText="1"/>
    </xf>
    <xf numFmtId="8" fontId="4" fillId="9" borderId="16" xfId="0" applyNumberFormat="1" applyFont="1" applyFill="1" applyBorder="1" applyAlignment="1">
      <alignment horizontal="center" vertical="center" wrapText="1"/>
    </xf>
    <xf numFmtId="8" fontId="4" fillId="13" borderId="19" xfId="0" applyNumberFormat="1" applyFont="1" applyFill="1" applyBorder="1" applyAlignment="1">
      <alignment horizontal="center" vertical="center" wrapText="1"/>
    </xf>
    <xf numFmtId="8" fontId="16" fillId="9" borderId="2" xfId="0" applyNumberFormat="1" applyFont="1" applyFill="1" applyBorder="1" applyAlignment="1">
      <alignment horizontal="center" vertical="center" wrapText="1"/>
    </xf>
    <xf numFmtId="44" fontId="4" fillId="13" borderId="10" xfId="0" applyNumberFormat="1" applyFont="1" applyFill="1" applyBorder="1" applyAlignment="1">
      <alignment horizontal="center" vertical="center" wrapText="1"/>
    </xf>
    <xf numFmtId="44" fontId="4" fillId="13" borderId="12" xfId="0" applyNumberFormat="1" applyFont="1" applyFill="1" applyBorder="1" applyAlignment="1">
      <alignment horizontal="center" vertical="center" wrapText="1"/>
    </xf>
    <xf numFmtId="44" fontId="4" fillId="15" borderId="10" xfId="0" applyNumberFormat="1" applyFont="1" applyFill="1" applyBorder="1" applyAlignment="1">
      <alignment horizontal="center" vertical="center" wrapText="1"/>
    </xf>
    <xf numFmtId="44" fontId="4" fillId="15" borderId="12" xfId="0" applyNumberFormat="1" applyFont="1" applyFill="1" applyBorder="1" applyAlignment="1">
      <alignment horizontal="center" vertical="center" wrapText="1"/>
    </xf>
    <xf numFmtId="44" fontId="4" fillId="17" borderId="10" xfId="0" applyNumberFormat="1" applyFont="1" applyFill="1" applyBorder="1" applyAlignment="1">
      <alignment horizontal="center" vertical="center" wrapText="1"/>
    </xf>
    <xf numFmtId="44" fontId="4" fillId="17" borderId="12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0" fontId="18" fillId="6" borderId="18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62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24" fillId="3" borderId="64" xfId="0" applyFont="1" applyFill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44" fontId="24" fillId="3" borderId="10" xfId="1" applyFont="1" applyFill="1" applyBorder="1" applyAlignment="1">
      <alignment horizontal="center" vertical="center" wrapText="1"/>
    </xf>
    <xf numFmtId="44" fontId="24" fillId="3" borderId="16" xfId="1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/>
    </xf>
    <xf numFmtId="0" fontId="6" fillId="8" borderId="65" xfId="0" applyFont="1" applyFill="1" applyBorder="1" applyAlignment="1">
      <alignment horizontal="center"/>
    </xf>
    <xf numFmtId="0" fontId="6" fillId="8" borderId="35" xfId="0" applyFont="1" applyFill="1" applyBorder="1" applyAlignment="1">
      <alignment horizontal="center"/>
    </xf>
    <xf numFmtId="0" fontId="39" fillId="4" borderId="26" xfId="0" applyFont="1" applyFill="1" applyBorder="1" applyAlignment="1">
      <alignment horizontal="center"/>
    </xf>
    <xf numFmtId="44" fontId="24" fillId="3" borderId="1" xfId="1" applyFont="1" applyFill="1" applyBorder="1" applyAlignment="1">
      <alignment horizontal="center" vertical="center" wrapText="1"/>
    </xf>
    <xf numFmtId="44" fontId="24" fillId="3" borderId="7" xfId="1" applyFont="1" applyFill="1" applyBorder="1" applyAlignment="1">
      <alignment horizontal="center" vertical="center" wrapText="1"/>
    </xf>
    <xf numFmtId="0" fontId="24" fillId="3" borderId="62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39" fillId="4" borderId="38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39" fillId="4" borderId="38" xfId="0" applyFont="1" applyFill="1" applyBorder="1" applyAlignment="1">
      <alignment horizontal="center" wrapText="1"/>
    </xf>
    <xf numFmtId="0" fontId="39" fillId="4" borderId="26" xfId="0" applyFont="1" applyFill="1" applyBorder="1" applyAlignment="1">
      <alignment horizontal="center" wrapText="1"/>
    </xf>
    <xf numFmtId="0" fontId="24" fillId="3" borderId="66" xfId="0" applyFont="1" applyFill="1" applyBorder="1" applyAlignment="1">
      <alignment horizontal="center" vertical="center" wrapText="1"/>
    </xf>
    <xf numFmtId="0" fontId="24" fillId="3" borderId="67" xfId="0" applyFont="1" applyFill="1" applyBorder="1" applyAlignment="1">
      <alignment horizontal="center" vertical="center" wrapText="1"/>
    </xf>
    <xf numFmtId="0" fontId="24" fillId="3" borderId="68" xfId="0" applyFont="1" applyFill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left" wrapText="1"/>
    </xf>
    <xf numFmtId="0" fontId="39" fillId="4" borderId="28" xfId="0" applyFont="1" applyFill="1" applyBorder="1" applyAlignment="1">
      <alignment horizontal="left" wrapText="1"/>
    </xf>
    <xf numFmtId="0" fontId="24" fillId="3" borderId="3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44" fontId="24" fillId="3" borderId="12" xfId="1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44" fontId="24" fillId="3" borderId="3" xfId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right"/>
    </xf>
    <xf numFmtId="0" fontId="39" fillId="4" borderId="28" xfId="0" applyFont="1" applyFill="1" applyBorder="1" applyAlignment="1">
      <alignment horizontal="right"/>
    </xf>
    <xf numFmtId="0" fontId="24" fillId="3" borderId="27" xfId="0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/>
    </xf>
    <xf numFmtId="0" fontId="40" fillId="4" borderId="17" xfId="0" applyFont="1" applyFill="1" applyBorder="1" applyAlignment="1">
      <alignment horizontal="left"/>
    </xf>
    <xf numFmtId="0" fontId="40" fillId="4" borderId="18" xfId="0" applyFont="1" applyFill="1" applyBorder="1" applyAlignment="1">
      <alignment horizontal="left"/>
    </xf>
    <xf numFmtId="0" fontId="6" fillId="8" borderId="70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44" fontId="22" fillId="0" borderId="29" xfId="1" applyFont="1" applyBorder="1" applyAlignment="1">
      <alignment horizontal="center" vertical="center" wrapText="1"/>
    </xf>
    <xf numFmtId="44" fontId="22" fillId="0" borderId="53" xfId="1" applyFont="1" applyBorder="1" applyAlignment="1">
      <alignment horizontal="center" wrapText="1"/>
    </xf>
    <xf numFmtId="44" fontId="22" fillId="0" borderId="71" xfId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44" fontId="21" fillId="0" borderId="29" xfId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wrapText="1"/>
    </xf>
    <xf numFmtId="0" fontId="22" fillId="0" borderId="53" xfId="0" applyFont="1" applyBorder="1" applyAlignment="1">
      <alignment horizontal="center" wrapText="1"/>
    </xf>
    <xf numFmtId="0" fontId="22" fillId="0" borderId="71" xfId="0" applyFont="1" applyBorder="1" applyAlignment="1">
      <alignment horizontal="center" wrapText="1"/>
    </xf>
    <xf numFmtId="0" fontId="35" fillId="0" borderId="10" xfId="0" applyFont="1" applyBorder="1" applyAlignment="1">
      <alignment horizontal="justify" vertical="center" wrapText="1"/>
    </xf>
    <xf numFmtId="0" fontId="35" fillId="0" borderId="12" xfId="0" applyFont="1" applyBorder="1" applyAlignment="1">
      <alignment horizontal="justify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2" fontId="10" fillId="12" borderId="30" xfId="0" applyNumberFormat="1" applyFont="1" applyFill="1" applyBorder="1" applyAlignment="1">
      <alignment horizontal="center" vertical="center" wrapText="1"/>
    </xf>
    <xf numFmtId="2" fontId="10" fillId="12" borderId="22" xfId="0" applyNumberFormat="1" applyFont="1" applyFill="1" applyBorder="1" applyAlignment="1">
      <alignment horizontal="center" vertical="center" wrapText="1"/>
    </xf>
    <xf numFmtId="2" fontId="10" fillId="12" borderId="3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ECFF"/>
      <color rgb="FFCCFFCC"/>
      <color rgb="FFFFCC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1882140</xdr:colOff>
      <xdr:row>4</xdr:row>
      <xdr:rowOff>30480</xdr:rowOff>
    </xdr:to>
    <xdr:pic>
      <xdr:nvPicPr>
        <xdr:cNvPr id="5502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93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1844040</xdr:colOff>
      <xdr:row>4</xdr:row>
      <xdr:rowOff>45720</xdr:rowOff>
    </xdr:to>
    <xdr:pic>
      <xdr:nvPicPr>
        <xdr:cNvPr id="4733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5755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1874520</xdr:colOff>
      <xdr:row>4</xdr:row>
      <xdr:rowOff>38100</xdr:rowOff>
    </xdr:to>
    <xdr:pic>
      <xdr:nvPicPr>
        <xdr:cNvPr id="4734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1844040</xdr:colOff>
      <xdr:row>4</xdr:row>
      <xdr:rowOff>45720</xdr:rowOff>
    </xdr:to>
    <xdr:pic>
      <xdr:nvPicPr>
        <xdr:cNvPr id="6783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5755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1874520</xdr:colOff>
      <xdr:row>4</xdr:row>
      <xdr:rowOff>38100</xdr:rowOff>
    </xdr:to>
    <xdr:pic>
      <xdr:nvPicPr>
        <xdr:cNvPr id="6784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2026920</xdr:colOff>
      <xdr:row>4</xdr:row>
      <xdr:rowOff>45720</xdr:rowOff>
    </xdr:to>
    <xdr:pic>
      <xdr:nvPicPr>
        <xdr:cNvPr id="7793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5603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2065020</xdr:colOff>
      <xdr:row>4</xdr:row>
      <xdr:rowOff>38100</xdr:rowOff>
    </xdr:to>
    <xdr:pic>
      <xdr:nvPicPr>
        <xdr:cNvPr id="7794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93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1836420</xdr:colOff>
      <xdr:row>4</xdr:row>
      <xdr:rowOff>45720</xdr:rowOff>
    </xdr:to>
    <xdr:pic>
      <xdr:nvPicPr>
        <xdr:cNvPr id="8792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5679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1882140</xdr:colOff>
      <xdr:row>4</xdr:row>
      <xdr:rowOff>30480</xdr:rowOff>
    </xdr:to>
    <xdr:pic>
      <xdr:nvPicPr>
        <xdr:cNvPr id="8793" name="Picture 1" descr="Redorga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46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3"/>
  <sheetViews>
    <sheetView tabSelected="1" zoomScale="66" zoomScaleNormal="66" zoomScaleSheetLayoutView="66" workbookViewId="0">
      <selection activeCell="A6" sqref="A6:AH6"/>
    </sheetView>
  </sheetViews>
  <sheetFormatPr baseColWidth="10" defaultRowHeight="12.75" x14ac:dyDescent="0.2"/>
  <cols>
    <col min="1" max="1" width="11.28515625" customWidth="1"/>
    <col min="2" max="2" width="51.42578125" bestFit="1" customWidth="1"/>
    <col min="3" max="3" width="10.140625" customWidth="1"/>
    <col min="4" max="4" width="11.7109375" customWidth="1"/>
    <col min="5" max="5" width="13" hidden="1" customWidth="1"/>
    <col min="6" max="6" width="0" hidden="1" customWidth="1"/>
    <col min="7" max="7" width="13.5703125" hidden="1" customWidth="1"/>
    <col min="9" max="9" width="14" customWidth="1"/>
    <col min="10" max="10" width="17.7109375" customWidth="1"/>
    <col min="11" max="11" width="16.42578125" customWidth="1"/>
    <col min="12" max="12" width="17.28515625" customWidth="1"/>
    <col min="13" max="13" width="17.7109375" customWidth="1"/>
    <col min="14" max="14" width="17" customWidth="1"/>
    <col min="15" max="15" width="18.85546875" customWidth="1"/>
    <col min="16" max="16" width="14.140625" customWidth="1"/>
    <col min="17" max="17" width="16.42578125" customWidth="1"/>
    <col min="18" max="18" width="15.28515625" hidden="1" customWidth="1"/>
    <col min="19" max="19" width="15" customWidth="1"/>
    <col min="20" max="20" width="14.28515625" customWidth="1"/>
    <col min="21" max="21" width="13.140625" customWidth="1"/>
    <col min="22" max="22" width="13.7109375" customWidth="1"/>
    <col min="24" max="24" width="13.140625" customWidth="1"/>
    <col min="25" max="25" width="15.42578125" customWidth="1"/>
    <col min="26" max="26" width="14.85546875" customWidth="1"/>
    <col min="27" max="27" width="15.28515625" customWidth="1"/>
    <col min="28" max="28" width="14.5703125" customWidth="1"/>
    <col min="29" max="29" width="15.42578125" customWidth="1"/>
    <col min="30" max="30" width="16.28515625" customWidth="1"/>
    <col min="31" max="31" width="16.7109375" hidden="1" customWidth="1"/>
    <col min="32" max="32" width="13.140625" customWidth="1"/>
    <col min="33" max="34" width="15.140625" customWidth="1"/>
  </cols>
  <sheetData>
    <row r="1" spans="1:44" s="1" customFormat="1" x14ac:dyDescent="0.2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4" s="1" customFormat="1" x14ac:dyDescent="0.2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4" s="1" customFormat="1" x14ac:dyDescent="0.2">
      <c r="A3" s="10"/>
      <c r="C3" s="13"/>
      <c r="D3" s="13"/>
      <c r="E3" s="13"/>
      <c r="F3" s="13"/>
      <c r="G3" s="13"/>
      <c r="H3" s="13"/>
      <c r="I3" s="13"/>
      <c r="J3" s="13"/>
      <c r="K3" s="587" t="s">
        <v>88</v>
      </c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4" s="1" customFormat="1" x14ac:dyDescent="0.2">
      <c r="A4" s="10"/>
      <c r="C4" s="13"/>
      <c r="D4" s="13"/>
      <c r="E4" s="13"/>
      <c r="F4" s="13"/>
      <c r="G4" s="13"/>
      <c r="H4" s="13"/>
      <c r="I4" s="13"/>
      <c r="J4" s="13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4" s="1" customFormat="1" x14ac:dyDescent="0.2">
      <c r="A5" s="10"/>
      <c r="C5" s="13"/>
      <c r="D5" s="13"/>
      <c r="E5" s="13"/>
      <c r="F5" s="13"/>
      <c r="G5" s="13"/>
      <c r="H5" s="13"/>
      <c r="I5" s="13"/>
      <c r="J5" s="13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4" s="1" customFormat="1" ht="27.75" x14ac:dyDescent="0.4">
      <c r="A6" s="607" t="s">
        <v>185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13"/>
      <c r="AJ6" s="13"/>
      <c r="AK6" s="13"/>
      <c r="AL6" s="13"/>
      <c r="AM6" s="13"/>
      <c r="AN6" s="13"/>
    </row>
    <row r="7" spans="1:44" s="1" customFormat="1" ht="18.75" thickBot="1" x14ac:dyDescent="0.3">
      <c r="A7" s="608" t="s">
        <v>89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9"/>
      <c r="AH7" s="609"/>
      <c r="AI7" s="13"/>
      <c r="AJ7" s="13"/>
      <c r="AK7" s="15"/>
      <c r="AL7" s="13"/>
      <c r="AM7" s="13"/>
      <c r="AN7" s="13"/>
    </row>
    <row r="8" spans="1:44" ht="21" thickBot="1" x14ac:dyDescent="0.35">
      <c r="A8" s="109" t="s">
        <v>130</v>
      </c>
      <c r="B8" s="110"/>
      <c r="C8" s="110"/>
      <c r="D8" s="110"/>
      <c r="E8" s="110"/>
      <c r="F8" s="110"/>
      <c r="G8" s="152"/>
      <c r="H8" s="152"/>
      <c r="I8" s="152"/>
      <c r="J8" s="152"/>
      <c r="K8" s="152"/>
      <c r="L8" s="152"/>
      <c r="M8" s="152"/>
      <c r="N8" s="152"/>
      <c r="O8" s="152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610" t="s">
        <v>145</v>
      </c>
      <c r="AB8" s="610"/>
      <c r="AC8" s="610"/>
      <c r="AD8" s="610"/>
      <c r="AE8" s="610"/>
      <c r="AF8" s="610"/>
      <c r="AG8" s="610"/>
      <c r="AH8" s="610"/>
    </row>
    <row r="9" spans="1:44" s="2" customFormat="1" ht="21.75" customHeight="1" thickBot="1" x14ac:dyDescent="0.25">
      <c r="A9" s="596" t="s">
        <v>1</v>
      </c>
      <c r="B9" s="596" t="s">
        <v>0</v>
      </c>
      <c r="C9" s="585" t="s">
        <v>83</v>
      </c>
      <c r="D9" s="585" t="s">
        <v>126</v>
      </c>
      <c r="E9" s="585" t="s">
        <v>134</v>
      </c>
      <c r="F9" s="585" t="s">
        <v>120</v>
      </c>
      <c r="G9" s="585" t="s">
        <v>131</v>
      </c>
      <c r="H9" s="585" t="s">
        <v>85</v>
      </c>
      <c r="I9" s="585" t="s">
        <v>156</v>
      </c>
      <c r="J9" s="602" t="s">
        <v>155</v>
      </c>
      <c r="K9" s="602" t="s">
        <v>128</v>
      </c>
      <c r="L9" s="602" t="s">
        <v>154</v>
      </c>
      <c r="M9" s="602" t="s">
        <v>155</v>
      </c>
      <c r="N9" s="596" t="s">
        <v>91</v>
      </c>
      <c r="O9" s="596" t="s">
        <v>127</v>
      </c>
      <c r="P9" s="611" t="s">
        <v>92</v>
      </c>
      <c r="Q9" s="596" t="s">
        <v>108</v>
      </c>
      <c r="R9" s="596" t="s">
        <v>132</v>
      </c>
      <c r="S9" s="596" t="s">
        <v>74</v>
      </c>
      <c r="T9" s="615" t="s">
        <v>63</v>
      </c>
      <c r="U9" s="615"/>
      <c r="V9" s="615"/>
      <c r="W9" s="615"/>
      <c r="X9" s="616"/>
      <c r="Y9" s="616" t="s">
        <v>73</v>
      </c>
      <c r="Z9" s="585" t="s">
        <v>95</v>
      </c>
      <c r="AA9" s="585" t="s">
        <v>94</v>
      </c>
      <c r="AB9" s="585" t="s">
        <v>93</v>
      </c>
      <c r="AC9" s="585" t="s">
        <v>97</v>
      </c>
      <c r="AD9" s="585" t="s">
        <v>96</v>
      </c>
      <c r="AE9" s="585"/>
      <c r="AF9" s="585" t="s">
        <v>184</v>
      </c>
      <c r="AG9" s="618" t="s">
        <v>183</v>
      </c>
      <c r="AH9" s="585" t="s">
        <v>98</v>
      </c>
      <c r="AI9" s="17"/>
      <c r="AJ9" s="17"/>
      <c r="AK9" s="17"/>
      <c r="AL9" s="17"/>
      <c r="AM9" s="17"/>
      <c r="AN9" s="17"/>
    </row>
    <row r="10" spans="1:44" s="2" customFormat="1" ht="90.75" customHeight="1" thickBot="1" x14ac:dyDescent="0.25">
      <c r="A10" s="597"/>
      <c r="B10" s="597"/>
      <c r="C10" s="586"/>
      <c r="D10" s="586"/>
      <c r="E10" s="586"/>
      <c r="F10" s="586"/>
      <c r="G10" s="586"/>
      <c r="H10" s="586"/>
      <c r="I10" s="586"/>
      <c r="J10" s="603"/>
      <c r="K10" s="603"/>
      <c r="L10" s="603"/>
      <c r="M10" s="603"/>
      <c r="N10" s="597"/>
      <c r="O10" s="597"/>
      <c r="P10" s="612"/>
      <c r="Q10" s="597"/>
      <c r="R10" s="597"/>
      <c r="S10" s="597"/>
      <c r="T10" s="92" t="s">
        <v>148</v>
      </c>
      <c r="U10" s="92" t="s">
        <v>65</v>
      </c>
      <c r="V10" s="92" t="s">
        <v>66</v>
      </c>
      <c r="W10" s="92" t="s">
        <v>67</v>
      </c>
      <c r="X10" s="92" t="s">
        <v>68</v>
      </c>
      <c r="Y10" s="617"/>
      <c r="Z10" s="586"/>
      <c r="AA10" s="586"/>
      <c r="AB10" s="586"/>
      <c r="AC10" s="586"/>
      <c r="AD10" s="586"/>
      <c r="AE10" s="586"/>
      <c r="AF10" s="586"/>
      <c r="AG10" s="586"/>
      <c r="AH10" s="586"/>
      <c r="AI10" s="17"/>
      <c r="AJ10" s="17"/>
      <c r="AK10" s="17"/>
      <c r="AL10" s="17"/>
      <c r="AM10" s="17"/>
      <c r="AN10" s="17"/>
    </row>
    <row r="11" spans="1:44" s="1" customFormat="1" ht="24.75" customHeight="1" x14ac:dyDescent="0.2">
      <c r="A11" s="372">
        <v>528</v>
      </c>
      <c r="B11" s="373" t="s">
        <v>2</v>
      </c>
      <c r="C11" s="374">
        <v>0</v>
      </c>
      <c r="D11" s="374"/>
      <c r="E11" s="375"/>
      <c r="F11" s="376"/>
      <c r="G11" s="377">
        <v>1783</v>
      </c>
      <c r="H11" s="374">
        <f t="shared" ref="H11:H21" si="0">SUM(G11:G11)</f>
        <v>1783</v>
      </c>
      <c r="I11" s="374"/>
      <c r="J11" s="378"/>
      <c r="K11" s="379">
        <f>H11*'DATOS REFERENCIALES'!$C$4</f>
        <v>9770.84</v>
      </c>
      <c r="L11" s="379"/>
      <c r="M11" s="379"/>
      <c r="N11" s="380">
        <f>LOOKUP(C11,'TABLA ANTIG.'!$A$4:$A$39,'TABLA ANTIG.'!$B$4:$B$39)*(K11)</f>
        <v>0</v>
      </c>
      <c r="O11" s="381">
        <f>(K11)*0.1</f>
        <v>977.08400000000006</v>
      </c>
      <c r="P11" s="379">
        <f>'DATOS REFERENCIALES'!$C$8</f>
        <v>3640</v>
      </c>
      <c r="Q11" s="382">
        <f>LOOKUP(C11,'TABLA ANTIG.'!$A$4:$A$39,'TABLA ANTIG.'!$B$4:$B$39)*(P11)</f>
        <v>0</v>
      </c>
      <c r="R11" s="383">
        <v>0</v>
      </c>
      <c r="S11" s="381">
        <f t="shared" ref="S11:S21" si="1">K11+L11+M11+N11+O11+P11+Q11+R11</f>
        <v>14387.924000000001</v>
      </c>
      <c r="T11" s="384">
        <f t="shared" ref="T11:T21" si="2">$S11*11%</f>
        <v>1582.67164</v>
      </c>
      <c r="U11" s="381">
        <f t="shared" ref="U11:V21" si="3">$S11*3%</f>
        <v>431.63772</v>
      </c>
      <c r="V11" s="384">
        <f t="shared" si="3"/>
        <v>431.63772</v>
      </c>
      <c r="W11" s="381">
        <f>$S11*2%</f>
        <v>287.75848000000002</v>
      </c>
      <c r="X11" s="381">
        <f t="shared" ref="X11:X21" si="4">$S11*4.5%</f>
        <v>647.45658000000003</v>
      </c>
      <c r="Y11" s="381">
        <f t="shared" ref="Y11:Y21" si="5">SUM(T11:X11)</f>
        <v>3381.1621399999999</v>
      </c>
      <c r="Z11" s="385">
        <f t="shared" ref="Z11:Z21" si="6">S11-Y11</f>
        <v>11006.761860000001</v>
      </c>
      <c r="AA11" s="381">
        <f>'DATOS REFERENCIALES'!$C$10</f>
        <v>1294</v>
      </c>
      <c r="AB11" s="381">
        <f>IF((IF(H11&gt;1119,('DATOS REFERENCIALES'!$C$9-(S11-T11-U11-V11-W11-X11+AA11)),(('DATOS REFERENCIALES'!$C$9/1120)*H11)-(K11+N11+O11+P11+Q11+R11-T11-U11-V11-W11-X11+AA11)))&lt;0,0,IF(H11&gt;1119,(('DATOS REFERENCIALES'!$C$9)-(S11-T11-U11-V11-W11-X11+AA11)),(('DATOS REFERENCIALES'!$C$9/1120)*H11)-(K11+N11+O11+P11+Q11+R11-T11-U11-V11-W11-X11+AA11)))</f>
        <v>2310.2381400000013</v>
      </c>
      <c r="AC11" s="380">
        <f t="shared" ref="AC11:AC21" si="7">SUM(Z11:AB11)</f>
        <v>14611.000000000002</v>
      </c>
      <c r="AD11" s="386">
        <f>'DATOS REFERENCIALES'!$C$13</f>
        <v>1210</v>
      </c>
      <c r="AE11" s="386"/>
      <c r="AF11" s="380">
        <f>'DATOS REFERENCIALES'!$C$11</f>
        <v>320</v>
      </c>
      <c r="AG11" s="381">
        <f>'DATOS REFERENCIALES'!$C$12</f>
        <v>210</v>
      </c>
      <c r="AH11" s="583">
        <f>SUM(AC11:AG11)+SUM(AC12:AG12)</f>
        <v>17461.014908200003</v>
      </c>
      <c r="AI11" s="588" t="s">
        <v>99</v>
      </c>
      <c r="AJ11" s="589"/>
      <c r="AK11" s="590"/>
      <c r="AL11" s="18"/>
      <c r="AM11" s="19"/>
      <c r="AN11" s="19"/>
      <c r="AR11" s="8"/>
    </row>
    <row r="12" spans="1:44" s="1" customFormat="1" ht="24" customHeight="1" thickBot="1" x14ac:dyDescent="0.25">
      <c r="A12" s="387">
        <v>528</v>
      </c>
      <c r="B12" s="388" t="s">
        <v>2</v>
      </c>
      <c r="C12" s="389">
        <f>IF(C11&gt;0,C11,0)</f>
        <v>0</v>
      </c>
      <c r="D12" s="389"/>
      <c r="E12" s="390"/>
      <c r="F12" s="391"/>
      <c r="G12" s="392">
        <v>1783</v>
      </c>
      <c r="H12" s="389"/>
      <c r="I12" s="389">
        <v>133.72999999999999</v>
      </c>
      <c r="J12" s="393" t="s">
        <v>158</v>
      </c>
      <c r="K12" s="393"/>
      <c r="L12" s="394">
        <f>I12*'DATOS REFERENCIALES'!$C$4</f>
        <v>732.84040000000005</v>
      </c>
      <c r="M12" s="394">
        <f>IF(J12='DATOS REFERENCIALES'!$C$28,INICIAL!K11*'DATOS REFERENCIALES'!$D$28,IF(J12='DATOS REFERENCIALES'!$C$29,('DATOS REFERENCIALES'!$D$29*INICIAL!K11),IF(J12='DATOS REFERENCIALES'!$C$30,('DATOS REFERENCIALES'!$D$30*INICIAL!K11),IF(J12='DATOS REFERENCIALES'!$C$31,('DATOS REFERENCIALES'!$D$31*INICIAL!K11),IF(J12='DATOS REFERENCIALES'!$C$32,('DATOS REFERENCIALES'!$D$32*INICIAL!K11),IF(J12='DATOS REFERENCIALES'!$C$33,('DATOS REFERENCIALES'!$D$33*INICIAL!K11),IF(J12='DATOS REFERENCIALES'!$C$34,('DATOS REFERENCIALES'!$D$34*INICIAL!K11),IF(J12='DATOS REFERENCIALES'!$C$35,('DATOS REFERENCIALES'!$D$35*INICIAL!K11),0))))))))</f>
        <v>586.25040000000001</v>
      </c>
      <c r="N12" s="395">
        <f>LOOKUP(C12,'TABLA ANTIG.'!$A$4:$A$39,'TABLA ANTIG.'!$B$4:$B$39)*(L12+M12)</f>
        <v>0</v>
      </c>
      <c r="O12" s="396">
        <f>(L12+M12)*0.1</f>
        <v>131.90907999999999</v>
      </c>
      <c r="P12" s="394"/>
      <c r="Q12" s="397"/>
      <c r="R12" s="398"/>
      <c r="S12" s="396">
        <f>L12+M12+O12+N12+P12+Q12+R12</f>
        <v>1450.9998799999998</v>
      </c>
      <c r="T12" s="399">
        <f t="shared" si="2"/>
        <v>159.60998679999997</v>
      </c>
      <c r="U12" s="396">
        <f t="shared" si="3"/>
        <v>43.529996399999995</v>
      </c>
      <c r="V12" s="399">
        <f t="shared" si="3"/>
        <v>43.529996399999995</v>
      </c>
      <c r="W12" s="396">
        <f>$S12*2%</f>
        <v>29.019997599999996</v>
      </c>
      <c r="X12" s="396">
        <f t="shared" si="4"/>
        <v>65.294994599999995</v>
      </c>
      <c r="Y12" s="396">
        <f>SUM(T12:X12)</f>
        <v>340.98497179999993</v>
      </c>
      <c r="Z12" s="400">
        <f>S12-Y12</f>
        <v>1110.0149081999998</v>
      </c>
      <c r="AA12" s="396"/>
      <c r="AB12" s="396"/>
      <c r="AC12" s="395">
        <f t="shared" si="7"/>
        <v>1110.0149081999998</v>
      </c>
      <c r="AD12" s="401"/>
      <c r="AE12" s="401"/>
      <c r="AF12" s="395"/>
      <c r="AG12" s="396"/>
      <c r="AH12" s="584"/>
      <c r="AI12" s="591"/>
      <c r="AJ12" s="592"/>
      <c r="AK12" s="593"/>
      <c r="AL12" s="18"/>
      <c r="AM12" s="19"/>
      <c r="AN12" s="19"/>
      <c r="AR12" s="8"/>
    </row>
    <row r="13" spans="1:44" s="1" customFormat="1" ht="20.25" customHeight="1" x14ac:dyDescent="0.2">
      <c r="A13" s="310">
        <v>579</v>
      </c>
      <c r="B13" s="311" t="s">
        <v>3</v>
      </c>
      <c r="C13" s="312">
        <v>0</v>
      </c>
      <c r="D13" s="312"/>
      <c r="E13" s="312"/>
      <c r="F13" s="312"/>
      <c r="G13" s="313">
        <v>1545</v>
      </c>
      <c r="H13" s="312">
        <f t="shared" si="0"/>
        <v>1545</v>
      </c>
      <c r="I13" s="312"/>
      <c r="J13" s="312"/>
      <c r="K13" s="314">
        <f>H13*'DATOS REFERENCIALES'!$C$4</f>
        <v>8466.6</v>
      </c>
      <c r="L13" s="314"/>
      <c r="M13" s="315"/>
      <c r="N13" s="316">
        <f>LOOKUP(C13,'TABLA ANTIG.'!$A$4:$A$39,'TABLA ANTIG.'!$B$4:$B$39)*(K13)</f>
        <v>0</v>
      </c>
      <c r="O13" s="316">
        <f>(K13)*0.1</f>
        <v>846.66000000000008</v>
      </c>
      <c r="P13" s="317">
        <f>'DATOS REFERENCIALES'!$C$8</f>
        <v>3640</v>
      </c>
      <c r="Q13" s="316">
        <f>LOOKUP(C13,'TABLA ANTIG.'!$A$4:$A$39,'TABLA ANTIG.'!$B$4:$B$39)*(P13)</f>
        <v>0</v>
      </c>
      <c r="R13" s="316">
        <v>0</v>
      </c>
      <c r="S13" s="316">
        <f t="shared" si="1"/>
        <v>12953.26</v>
      </c>
      <c r="T13" s="316">
        <f t="shared" si="2"/>
        <v>1424.8586</v>
      </c>
      <c r="U13" s="318">
        <f t="shared" si="3"/>
        <v>388.59780000000001</v>
      </c>
      <c r="V13" s="319">
        <f t="shared" si="3"/>
        <v>388.59780000000001</v>
      </c>
      <c r="W13" s="316">
        <f t="shared" ref="W13:W21" si="8">$S13*2%</f>
        <v>259.0652</v>
      </c>
      <c r="X13" s="316">
        <f t="shared" si="4"/>
        <v>582.89670000000001</v>
      </c>
      <c r="Y13" s="316">
        <f t="shared" si="5"/>
        <v>3044.0160999999998</v>
      </c>
      <c r="Z13" s="318">
        <f t="shared" si="6"/>
        <v>9909.2439000000013</v>
      </c>
      <c r="AA13" s="316">
        <f>'DATOS REFERENCIALES'!$C$10</f>
        <v>1294</v>
      </c>
      <c r="AB13" s="316">
        <f>IF((IF(H13&gt;1119,('DATOS REFERENCIALES'!$C$9-(S13-T13-U13-V13-W13-X13+AA13-L13-L13*0.235)),(('DATOS REFERENCIALES'!$C$9/1120)*H13)-(K13+N13+O13+P13+Q13+R13-T13-U13-V13-W13-X13+AA13-(L13-L13*0.235))))&lt;0,0,IF(H13&gt;1119,(('DATOS REFERENCIALES'!$C$9)-(S13-T13-U13-V13-W13-X13+AA13-(L13-L13*0.235))),(('DATOS REFERENCIALES'!$C$9/1120)*H13)-(K13+N13+O13+P13+Q13+R13-T13-U13-V13-W13-X13+AA13-(L13-L13*0.235))))</f>
        <v>3407.7560999999969</v>
      </c>
      <c r="AC13" s="320">
        <f t="shared" si="7"/>
        <v>14610.999999999998</v>
      </c>
      <c r="AD13" s="321">
        <f>'DATOS REFERENCIALES'!$C$13</f>
        <v>1210</v>
      </c>
      <c r="AE13" s="321"/>
      <c r="AF13" s="320">
        <f>'DATOS REFERENCIALES'!$C$11</f>
        <v>320</v>
      </c>
      <c r="AG13" s="316">
        <f>'DATOS REFERENCIALES'!$C$12</f>
        <v>210</v>
      </c>
      <c r="AH13" s="579">
        <f>SUM(AC13:AG13)+SUM(AC14:AG14)</f>
        <v>16885.371349599998</v>
      </c>
      <c r="AI13" s="592"/>
      <c r="AJ13" s="592"/>
      <c r="AK13" s="593"/>
      <c r="AL13" s="18"/>
      <c r="AM13" s="19"/>
      <c r="AN13" s="19"/>
      <c r="AR13" s="8"/>
    </row>
    <row r="14" spans="1:44" s="1" customFormat="1" ht="20.25" customHeight="1" thickBot="1" x14ac:dyDescent="0.25">
      <c r="A14" s="322">
        <v>579</v>
      </c>
      <c r="B14" s="323" t="s">
        <v>3</v>
      </c>
      <c r="C14" s="324">
        <f>IF(C13&gt;0,C13,0)</f>
        <v>0</v>
      </c>
      <c r="D14" s="324"/>
      <c r="E14" s="324"/>
      <c r="F14" s="324"/>
      <c r="G14" s="325">
        <v>1545</v>
      </c>
      <c r="H14" s="324"/>
      <c r="I14" s="324">
        <v>115.88</v>
      </c>
      <c r="J14" s="324"/>
      <c r="K14" s="326"/>
      <c r="L14" s="326">
        <f>I14*'DATOS REFERENCIALES'!$C$4</f>
        <v>635.02240000000006</v>
      </c>
      <c r="M14" s="327"/>
      <c r="N14" s="328">
        <f>LOOKUP(C14,'TABLA ANTIG.'!$A$4:$A$39,'TABLA ANTIG.'!$B$4:$B$39)*(L14+M14)</f>
        <v>0</v>
      </c>
      <c r="O14" s="328">
        <f>(L14+M14)*0.1</f>
        <v>63.502240000000008</v>
      </c>
      <c r="P14" s="329"/>
      <c r="Q14" s="328"/>
      <c r="R14" s="328"/>
      <c r="S14" s="330">
        <f>K14+L14+M14+N14+O14+P14+Q14+R14</f>
        <v>698.52464000000009</v>
      </c>
      <c r="T14" s="330">
        <f t="shared" si="2"/>
        <v>76.837710400000006</v>
      </c>
      <c r="U14" s="331">
        <f t="shared" si="3"/>
        <v>20.955739200000004</v>
      </c>
      <c r="V14" s="332">
        <f t="shared" si="3"/>
        <v>20.955739200000004</v>
      </c>
      <c r="W14" s="330">
        <f>$S14*2%</f>
        <v>13.970492800000002</v>
      </c>
      <c r="X14" s="330">
        <f t="shared" si="4"/>
        <v>31.433608800000002</v>
      </c>
      <c r="Y14" s="330">
        <f t="shared" si="5"/>
        <v>164.1532904</v>
      </c>
      <c r="Z14" s="331">
        <f t="shared" si="6"/>
        <v>534.37134960000003</v>
      </c>
      <c r="AA14" s="328"/>
      <c r="AB14" s="328"/>
      <c r="AC14" s="333">
        <f t="shared" si="7"/>
        <v>534.37134960000003</v>
      </c>
      <c r="AD14" s="334"/>
      <c r="AE14" s="334"/>
      <c r="AF14" s="335"/>
      <c r="AG14" s="328"/>
      <c r="AH14" s="580"/>
      <c r="AI14" s="592"/>
      <c r="AJ14" s="592"/>
      <c r="AK14" s="593"/>
      <c r="AL14" s="18"/>
      <c r="AM14" s="19"/>
      <c r="AN14" s="19"/>
      <c r="AR14" s="8"/>
    </row>
    <row r="15" spans="1:44" s="1" customFormat="1" ht="21.75" customHeight="1" x14ac:dyDescent="0.2">
      <c r="A15" s="337">
        <v>544</v>
      </c>
      <c r="B15" s="338" t="s">
        <v>4</v>
      </c>
      <c r="C15" s="339">
        <v>0</v>
      </c>
      <c r="D15" s="339"/>
      <c r="E15" s="339"/>
      <c r="F15" s="339"/>
      <c r="G15" s="340">
        <v>1307</v>
      </c>
      <c r="H15" s="339">
        <f t="shared" si="0"/>
        <v>1307</v>
      </c>
      <c r="I15" s="339"/>
      <c r="J15" s="339"/>
      <c r="K15" s="341">
        <f>H15*'DATOS REFERENCIALES'!$C$4</f>
        <v>7162.3600000000006</v>
      </c>
      <c r="L15" s="341"/>
      <c r="M15" s="342"/>
      <c r="N15" s="343">
        <f>LOOKUP(C15,'TABLA ANTIG.'!$A$4:$A$39,'TABLA ANTIG.'!$B$4:$B$39)*(K15)</f>
        <v>0</v>
      </c>
      <c r="O15" s="343">
        <f>(K15)*0.1</f>
        <v>716.2360000000001</v>
      </c>
      <c r="P15" s="344">
        <f>'DATOS REFERENCIALES'!$C$8</f>
        <v>3640</v>
      </c>
      <c r="Q15" s="343">
        <f>LOOKUP(C15,'TABLA ANTIG.'!$A$4:$A$39,'TABLA ANTIG.'!$B$4:$B$39)*(P15)</f>
        <v>0</v>
      </c>
      <c r="R15" s="345">
        <v>0</v>
      </c>
      <c r="S15" s="343">
        <f t="shared" si="1"/>
        <v>11518.596000000001</v>
      </c>
      <c r="T15" s="343">
        <f t="shared" si="2"/>
        <v>1267.0455600000003</v>
      </c>
      <c r="U15" s="343">
        <f t="shared" si="3"/>
        <v>345.55788000000001</v>
      </c>
      <c r="V15" s="346">
        <f t="shared" si="3"/>
        <v>345.55788000000001</v>
      </c>
      <c r="W15" s="343">
        <f t="shared" si="8"/>
        <v>230.37192000000005</v>
      </c>
      <c r="X15" s="343">
        <f t="shared" si="4"/>
        <v>518.33681999999999</v>
      </c>
      <c r="Y15" s="343">
        <f t="shared" si="5"/>
        <v>2706.8700600000006</v>
      </c>
      <c r="Z15" s="347">
        <f t="shared" si="6"/>
        <v>8811.7259400000003</v>
      </c>
      <c r="AA15" s="347">
        <f>'DATOS REFERENCIALES'!$C$10</f>
        <v>1294</v>
      </c>
      <c r="AB15" s="343">
        <f>IF((IF(H15&gt;1119,('DATOS REFERENCIALES'!$C$9-(S15-T15-U15-V15-W15-X15+AA15-L15-L15*0.235)),(('DATOS REFERENCIALES'!$C$9/1120)*H15)-(K15+N15+O15+P15+Q15+R15-T15-U15-V15-W15-X15+AA15-(L15-L15*0.235))))&lt;0,0,IF(H15&gt;1119,(('DATOS REFERENCIALES'!$C$9)-(S15-T15-U15-V15-W15-X15+AA15-(L15-L15*0.235))),(('DATOS REFERENCIALES'!$C$9/1120)*H15)-(K15+N15+O15+P15+Q15+R15-T15-U15-V15-W15-X15+AA15-(L15-L15*0.235))))</f>
        <v>4505.2740599999997</v>
      </c>
      <c r="AC15" s="346">
        <f t="shared" si="7"/>
        <v>14611</v>
      </c>
      <c r="AD15" s="348">
        <f>'DATOS REFERENCIALES'!$C$13</f>
        <v>1210</v>
      </c>
      <c r="AE15" s="348"/>
      <c r="AF15" s="346">
        <f>'DATOS REFERENCIALES'!$C$11</f>
        <v>320</v>
      </c>
      <c r="AG15" s="343">
        <f>'DATOS REFERENCIALES'!$C$12</f>
        <v>210</v>
      </c>
      <c r="AH15" s="581">
        <f>SUM(AC15:AG15)+SUM(AC16:AG16)</f>
        <v>16803.057502600001</v>
      </c>
      <c r="AI15" s="592"/>
      <c r="AJ15" s="592"/>
      <c r="AK15" s="593"/>
      <c r="AL15" s="18"/>
      <c r="AM15" s="19"/>
      <c r="AN15" s="19"/>
      <c r="AR15" s="8"/>
    </row>
    <row r="16" spans="1:44" s="1" customFormat="1" ht="21.75" customHeight="1" thickBot="1" x14ac:dyDescent="0.25">
      <c r="A16" s="349">
        <v>544</v>
      </c>
      <c r="B16" s="350" t="s">
        <v>4</v>
      </c>
      <c r="C16" s="351">
        <f>IF(C15&gt;0,C15,0)</f>
        <v>0</v>
      </c>
      <c r="D16" s="351"/>
      <c r="E16" s="351"/>
      <c r="F16" s="351"/>
      <c r="G16" s="352">
        <v>1307</v>
      </c>
      <c r="H16" s="351"/>
      <c r="I16" s="351">
        <v>98.03</v>
      </c>
      <c r="J16" s="351"/>
      <c r="K16" s="353"/>
      <c r="L16" s="353">
        <f>I16*'DATOS REFERENCIALES'!$C$4</f>
        <v>537.20440000000008</v>
      </c>
      <c r="M16" s="354"/>
      <c r="N16" s="355">
        <f>LOOKUP(C16,'TABLA ANTIG.'!$A$4:$A$39,'TABLA ANTIG.'!$B$4:$B$39)*(L16+M16)</f>
        <v>0</v>
      </c>
      <c r="O16" s="355">
        <f>(L16+M16)*0.1</f>
        <v>53.720440000000011</v>
      </c>
      <c r="P16" s="356"/>
      <c r="Q16" s="357"/>
      <c r="R16" s="358"/>
      <c r="S16" s="357">
        <f t="shared" si="1"/>
        <v>590.92484000000013</v>
      </c>
      <c r="T16" s="357">
        <f t="shared" si="2"/>
        <v>65.001732400000009</v>
      </c>
      <c r="U16" s="357">
        <f t="shared" si="3"/>
        <v>17.727745200000005</v>
      </c>
      <c r="V16" s="359">
        <f t="shared" si="3"/>
        <v>17.727745200000005</v>
      </c>
      <c r="W16" s="357">
        <f t="shared" si="8"/>
        <v>11.818496800000004</v>
      </c>
      <c r="X16" s="357">
        <f t="shared" si="4"/>
        <v>26.591617800000005</v>
      </c>
      <c r="Y16" s="357">
        <f>SUM(T16:X16)</f>
        <v>138.86733740000003</v>
      </c>
      <c r="Z16" s="360">
        <f>S16-Y16</f>
        <v>452.05750260000013</v>
      </c>
      <c r="AA16" s="360"/>
      <c r="AB16" s="357"/>
      <c r="AC16" s="359">
        <f t="shared" si="7"/>
        <v>452.05750260000013</v>
      </c>
      <c r="AD16" s="361"/>
      <c r="AE16" s="361"/>
      <c r="AF16" s="359"/>
      <c r="AG16" s="357"/>
      <c r="AH16" s="582"/>
      <c r="AI16" s="592"/>
      <c r="AJ16" s="592"/>
      <c r="AK16" s="593"/>
      <c r="AL16" s="18"/>
      <c r="AM16" s="19"/>
      <c r="AN16" s="19"/>
      <c r="AR16" s="8"/>
    </row>
    <row r="17" spans="1:44" s="1" customFormat="1" ht="19.5" customHeight="1" x14ac:dyDescent="0.2">
      <c r="A17" s="223">
        <v>543</v>
      </c>
      <c r="B17" s="182" t="s">
        <v>56</v>
      </c>
      <c r="C17" s="139">
        <v>0</v>
      </c>
      <c r="D17" s="139"/>
      <c r="E17" s="139"/>
      <c r="F17" s="139"/>
      <c r="G17" s="184">
        <v>1120</v>
      </c>
      <c r="H17" s="139">
        <f t="shared" si="0"/>
        <v>1120</v>
      </c>
      <c r="I17" s="139"/>
      <c r="J17" s="139"/>
      <c r="K17" s="120">
        <f>H17*'DATOS REFERENCIALES'!$C$4</f>
        <v>6137.6</v>
      </c>
      <c r="L17" s="120"/>
      <c r="M17" s="224"/>
      <c r="N17" s="122">
        <f>LOOKUP(C17,'TABLA ANTIG.'!$A$4:$A$39,'TABLA ANTIG.'!$B$4:$B$39)*(K17+L17+M17)</f>
        <v>0</v>
      </c>
      <c r="O17" s="133">
        <f>(K17+L17+M17)*0.1</f>
        <v>613.7600000000001</v>
      </c>
      <c r="P17" s="227">
        <f>'DATOS REFERENCIALES'!$C$8</f>
        <v>3640</v>
      </c>
      <c r="Q17" s="122">
        <f>LOOKUP(C17,'TABLA ANTIG.'!$A$4:$A$39,'TABLA ANTIG.'!$B$4:$B$39)*(P17)</f>
        <v>0</v>
      </c>
      <c r="R17" s="133">
        <v>0</v>
      </c>
      <c r="S17" s="133">
        <f t="shared" si="1"/>
        <v>10391.36</v>
      </c>
      <c r="T17" s="122">
        <f t="shared" si="2"/>
        <v>1143.0496000000001</v>
      </c>
      <c r="U17" s="122">
        <f t="shared" si="3"/>
        <v>311.74079999999998</v>
      </c>
      <c r="V17" s="170">
        <f t="shared" si="3"/>
        <v>311.74079999999998</v>
      </c>
      <c r="W17" s="122">
        <f t="shared" si="8"/>
        <v>207.8272</v>
      </c>
      <c r="X17" s="122">
        <f t="shared" si="4"/>
        <v>467.6112</v>
      </c>
      <c r="Y17" s="133">
        <f t="shared" si="5"/>
        <v>2441.9695999999999</v>
      </c>
      <c r="Z17" s="167">
        <f t="shared" si="6"/>
        <v>7949.3904000000002</v>
      </c>
      <c r="AA17" s="170">
        <f>'DATOS REFERENCIALES'!$C$10</f>
        <v>1294</v>
      </c>
      <c r="AB17" s="122">
        <f>IF((IF(H17&gt;1119,('DATOS REFERENCIALES'!$C$9-(S17-T17-U17-V17-W17-X17+AA17-L17-L17*0.235)),(('DATOS REFERENCIALES'!$C$9/1120)*H17)-(K17+N17+O17+P17+Q17+R17-T17-U17-V17-W17-X17+AA17-(L17-L17*0.235))))&lt;0,0,IF(H17&gt;1119,(('DATOS REFERENCIALES'!$C$9)-(S17-T17-U17-V17-W17-X17+AA17-(L17-L17*0.235))),(('DATOS REFERENCIALES'!$C$9/1120)*H17)-(K17+N17+O17+P17+Q17+R17-T17-U17-V17-W17-X17+AA17-(L17-L17*0.235))))</f>
        <v>5367.6095999999998</v>
      </c>
      <c r="AC17" s="167">
        <f t="shared" si="7"/>
        <v>14611</v>
      </c>
      <c r="AD17" s="228">
        <f>'DATOS REFERENCIALES'!$C$13</f>
        <v>1210</v>
      </c>
      <c r="AE17" s="209"/>
      <c r="AF17" s="93">
        <f>'DATOS REFERENCIALES'!$C$11</f>
        <v>320</v>
      </c>
      <c r="AG17" s="170">
        <f>'DATOS REFERENCIALES'!$C$12</f>
        <v>210</v>
      </c>
      <c r="AH17" s="122">
        <f>SUM(AC17:AG17)</f>
        <v>16351</v>
      </c>
      <c r="AI17" s="592"/>
      <c r="AJ17" s="592"/>
      <c r="AK17" s="593"/>
      <c r="AL17" s="18"/>
      <c r="AM17" s="19"/>
      <c r="AN17" s="19"/>
      <c r="AR17" s="8"/>
    </row>
    <row r="18" spans="1:44" s="1" customFormat="1" ht="21" customHeight="1" x14ac:dyDescent="0.2">
      <c r="A18" s="98">
        <v>906</v>
      </c>
      <c r="B18" s="100" t="s">
        <v>75</v>
      </c>
      <c r="C18" s="27">
        <v>0</v>
      </c>
      <c r="D18" s="27"/>
      <c r="E18" s="27"/>
      <c r="F18" s="27"/>
      <c r="G18" s="64">
        <v>1120</v>
      </c>
      <c r="H18" s="47">
        <f t="shared" si="0"/>
        <v>1120</v>
      </c>
      <c r="I18" s="47"/>
      <c r="J18" s="47"/>
      <c r="K18" s="104">
        <f>H18*'DATOS REFERENCIALES'!$C$4</f>
        <v>6137.6</v>
      </c>
      <c r="L18" s="104"/>
      <c r="M18" s="210"/>
      <c r="N18" s="94">
        <f>LOOKUP(C18,'TABLA ANTIG.'!$A$4:$A$39,'TABLA ANTIG.'!$B$4:$B$39)*(K18+L18+M18)</f>
        <v>0</v>
      </c>
      <c r="O18" s="31">
        <f>(K18+L18+M18)*0.1</f>
        <v>613.7600000000001</v>
      </c>
      <c r="P18" s="176">
        <f>'DATOS REFERENCIALES'!$C$8</f>
        <v>3640</v>
      </c>
      <c r="Q18" s="94">
        <f>LOOKUP(C18,'TABLA ANTIG.'!$A$4:$A$39,'TABLA ANTIG.'!$B$4:$B$39)*(P18)</f>
        <v>0</v>
      </c>
      <c r="R18" s="31">
        <v>0</v>
      </c>
      <c r="S18" s="31">
        <f t="shared" si="1"/>
        <v>10391.36</v>
      </c>
      <c r="T18" s="31">
        <f t="shared" si="2"/>
        <v>1143.0496000000001</v>
      </c>
      <c r="U18" s="31">
        <f t="shared" si="3"/>
        <v>311.74079999999998</v>
      </c>
      <c r="V18" s="113">
        <f t="shared" si="3"/>
        <v>311.74079999999998</v>
      </c>
      <c r="W18" s="31">
        <f t="shared" si="8"/>
        <v>207.8272</v>
      </c>
      <c r="X18" s="31">
        <f t="shared" si="4"/>
        <v>467.6112</v>
      </c>
      <c r="Y18" s="31">
        <f t="shared" si="5"/>
        <v>2441.9695999999999</v>
      </c>
      <c r="Z18" s="150">
        <f t="shared" si="6"/>
        <v>7949.3904000000002</v>
      </c>
      <c r="AA18" s="168">
        <f>'DATOS REFERENCIALES'!$C$10</f>
        <v>1294</v>
      </c>
      <c r="AB18" s="94">
        <f>IF((IF(H18&gt;1119,('DATOS REFERENCIALES'!$C$9-(S18-T18-U18-V18-W18-X18+AA18-L18-L18*0.235)),(('DATOS REFERENCIALES'!$C$9/1120)*H18)-(K18+N18+O18+P18+Q18+R18-T18-U18-V18-W18-X18+AA18-(L18-L18*0.235))))&lt;0,0,IF(H18&gt;1119,(('DATOS REFERENCIALES'!$C$9)-(S18-T18-U18-V18-W18-X18+AA18-(L18-L18*0.235))),(('DATOS REFERENCIALES'!$C$9/1120)*H18)-(K18+N18+O18+P18+Q18+R18-T18-U18-V18-W18-X18+AA18-(L18-L18*0.235))))</f>
        <v>5367.6095999999998</v>
      </c>
      <c r="AC18" s="150">
        <f t="shared" si="7"/>
        <v>14611</v>
      </c>
      <c r="AD18" s="189">
        <f>'DATOS REFERENCIALES'!$C$13</f>
        <v>1210</v>
      </c>
      <c r="AE18" s="106"/>
      <c r="AF18" s="94">
        <f>'DATOS REFERENCIALES'!$C$11</f>
        <v>320</v>
      </c>
      <c r="AG18" s="168">
        <f>'DATOS REFERENCIALES'!$C$12</f>
        <v>210</v>
      </c>
      <c r="AH18" s="94">
        <f>SUM(AC18:AG18)</f>
        <v>16351</v>
      </c>
      <c r="AI18" s="592"/>
      <c r="AJ18" s="592"/>
      <c r="AK18" s="593"/>
      <c r="AL18" s="18"/>
      <c r="AM18" s="19"/>
      <c r="AN18" s="19"/>
      <c r="AR18" s="8"/>
    </row>
    <row r="19" spans="1:44" s="1" customFormat="1" ht="17.25" customHeight="1" x14ac:dyDescent="0.2">
      <c r="A19" s="98">
        <v>907</v>
      </c>
      <c r="B19" s="100" t="s">
        <v>86</v>
      </c>
      <c r="C19" s="27">
        <v>0</v>
      </c>
      <c r="D19" s="27"/>
      <c r="E19" s="27"/>
      <c r="F19" s="27"/>
      <c r="G19" s="64">
        <v>1120</v>
      </c>
      <c r="H19" s="47">
        <f t="shared" si="0"/>
        <v>1120</v>
      </c>
      <c r="I19" s="47"/>
      <c r="J19" s="47"/>
      <c r="K19" s="104">
        <f>H19*'DATOS REFERENCIALES'!$C$4</f>
        <v>6137.6</v>
      </c>
      <c r="L19" s="104"/>
      <c r="M19" s="210"/>
      <c r="N19" s="94">
        <f>LOOKUP(C19,'TABLA ANTIG.'!$A$4:$A$39,'TABLA ANTIG.'!$B$4:$B$39)*(K19+L19+M19)</f>
        <v>0</v>
      </c>
      <c r="O19" s="31">
        <f>(K19+L19+M19)*0.1</f>
        <v>613.7600000000001</v>
      </c>
      <c r="P19" s="176">
        <f>'DATOS REFERENCIALES'!$C$8</f>
        <v>3640</v>
      </c>
      <c r="Q19" s="94">
        <f>LOOKUP(C19,'TABLA ANTIG.'!$A$4:$A$39,'TABLA ANTIG.'!$B$4:$B$39)*(P19)</f>
        <v>0</v>
      </c>
      <c r="R19" s="31">
        <v>0</v>
      </c>
      <c r="S19" s="31">
        <f t="shared" si="1"/>
        <v>10391.36</v>
      </c>
      <c r="T19" s="31">
        <f t="shared" si="2"/>
        <v>1143.0496000000001</v>
      </c>
      <c r="U19" s="31">
        <f t="shared" si="3"/>
        <v>311.74079999999998</v>
      </c>
      <c r="V19" s="113">
        <f t="shared" si="3"/>
        <v>311.74079999999998</v>
      </c>
      <c r="W19" s="31">
        <f t="shared" si="8"/>
        <v>207.8272</v>
      </c>
      <c r="X19" s="31">
        <f t="shared" si="4"/>
        <v>467.6112</v>
      </c>
      <c r="Y19" s="31">
        <f t="shared" si="5"/>
        <v>2441.9695999999999</v>
      </c>
      <c r="Z19" s="150">
        <f t="shared" si="6"/>
        <v>7949.3904000000002</v>
      </c>
      <c r="AA19" s="168">
        <f>'DATOS REFERENCIALES'!$C$10</f>
        <v>1294</v>
      </c>
      <c r="AB19" s="94">
        <f>IF((IF(H19&gt;1119,('DATOS REFERENCIALES'!$C$9-(S19-T19-U19-V19-W19-X19+AA19-L19-L19*0.235)),(('DATOS REFERENCIALES'!$C$9/1120)*H19)-(K19+N19+O19+P19+Q19+R19-T19-U19-V19-W19-X19+AA19-(L19-L19*0.235))))&lt;0,0,IF(H19&gt;1119,(('DATOS REFERENCIALES'!$C$9)-(S19-T19-U19-V19-W19-X19+AA19-(L19-L19*0.235))),(('DATOS REFERENCIALES'!$C$9/1120)*H19)-(K19+N19+O19+P19+Q19+R19-T19-U19-V19-W19-X19+AA19-(L19-L19*0.235))))</f>
        <v>5367.6095999999998</v>
      </c>
      <c r="AC19" s="150">
        <f t="shared" si="7"/>
        <v>14611</v>
      </c>
      <c r="AD19" s="189">
        <f>'DATOS REFERENCIALES'!$C$13</f>
        <v>1210</v>
      </c>
      <c r="AE19" s="106"/>
      <c r="AF19" s="94">
        <f>'DATOS REFERENCIALES'!$C$11</f>
        <v>320</v>
      </c>
      <c r="AG19" s="168">
        <f>'DATOS REFERENCIALES'!$C$12</f>
        <v>210</v>
      </c>
      <c r="AH19" s="94">
        <f>SUM(AC19:AG19)</f>
        <v>16351</v>
      </c>
      <c r="AI19" s="592"/>
      <c r="AJ19" s="592"/>
      <c r="AK19" s="593"/>
      <c r="AL19" s="18"/>
      <c r="AM19" s="19"/>
      <c r="AN19" s="19"/>
    </row>
    <row r="20" spans="1:44" s="1" customFormat="1" ht="18.75" customHeight="1" x14ac:dyDescent="0.2">
      <c r="A20" s="98">
        <v>889</v>
      </c>
      <c r="B20" s="100" t="s">
        <v>54</v>
      </c>
      <c r="C20" s="27">
        <v>0</v>
      </c>
      <c r="D20" s="27"/>
      <c r="E20" s="27"/>
      <c r="F20" s="27"/>
      <c r="G20" s="102">
        <v>981.5</v>
      </c>
      <c r="H20" s="103">
        <f t="shared" si="0"/>
        <v>981.5</v>
      </c>
      <c r="I20" s="103"/>
      <c r="J20" s="103"/>
      <c r="K20" s="104">
        <f>H20*'DATOS REFERENCIALES'!$C$4</f>
        <v>5378.6200000000008</v>
      </c>
      <c r="L20" s="104"/>
      <c r="M20" s="210"/>
      <c r="N20" s="94">
        <f>LOOKUP(C20,'TABLA ANTIG.'!$A$4:$A$39,'TABLA ANTIG.'!$B$4:$B$39)*(K20+L20+M20)</f>
        <v>0</v>
      </c>
      <c r="O20" s="31">
        <f>(K20+L20+M20)*0.1</f>
        <v>537.86200000000008</v>
      </c>
      <c r="P20" s="176">
        <f>'DATOS REFERENCIALES'!$C$8</f>
        <v>3640</v>
      </c>
      <c r="Q20" s="94">
        <f>LOOKUP(C20,'TABLA ANTIG.'!$A$4:$A$39,'TABLA ANTIG.'!$B$4:$B$39)*(P20)</f>
        <v>0</v>
      </c>
      <c r="R20" s="31">
        <v>0</v>
      </c>
      <c r="S20" s="31">
        <f t="shared" si="1"/>
        <v>9556.482</v>
      </c>
      <c r="T20" s="31">
        <f t="shared" si="2"/>
        <v>1051.2130199999999</v>
      </c>
      <c r="U20" s="31">
        <f t="shared" si="3"/>
        <v>286.69445999999999</v>
      </c>
      <c r="V20" s="113">
        <f t="shared" si="3"/>
        <v>286.69445999999999</v>
      </c>
      <c r="W20" s="31">
        <f t="shared" si="8"/>
        <v>191.12963999999999</v>
      </c>
      <c r="X20" s="31">
        <f t="shared" si="4"/>
        <v>430.04168999999996</v>
      </c>
      <c r="Y20" s="31">
        <f t="shared" si="5"/>
        <v>2245.7732699999997</v>
      </c>
      <c r="Z20" s="150">
        <f t="shared" si="6"/>
        <v>7310.7087300000003</v>
      </c>
      <c r="AA20" s="168">
        <f>'DATOS REFERENCIALES'!$C$10</f>
        <v>1294</v>
      </c>
      <c r="AB20" s="94">
        <f>IF((IF(H20&gt;1119,('DATOS REFERENCIALES'!$C$9-(S20-T20-U20-V20-W20-X20+AA20-L20-L20*0.235)),(('DATOS REFERENCIALES'!$C$9/1120)*H20)-(K20+N20+O20+P20+Q20+R20-T20-U20-V20-W20-X20+AA20-(L20-L20*0.235))))&lt;0,0,IF(H20&gt;1119,(('DATOS REFERENCIALES'!$C$9)-(S20-T20-U20-V20-W20-X20+AA20-(L20-L20*0.235))),(('DATOS REFERENCIALES'!$C$9/1120)*H20)-(K20+N20+O20+P20+Q20+R20-T20-U20-V20-W20-X20+AA20-(L20-L20*0.235))))</f>
        <v>4199.484573571428</v>
      </c>
      <c r="AC20" s="150">
        <f t="shared" si="7"/>
        <v>12804.193303571428</v>
      </c>
      <c r="AD20" s="189">
        <f>'DATOS REFERENCIALES'!$C$13</f>
        <v>1210</v>
      </c>
      <c r="AE20" s="106"/>
      <c r="AF20" s="94">
        <f>'DATOS REFERENCIALES'!$C$11</f>
        <v>320</v>
      </c>
      <c r="AG20" s="168">
        <f>'DATOS REFERENCIALES'!$C$12</f>
        <v>210</v>
      </c>
      <c r="AH20" s="94">
        <f>SUM(AC20:AG20)</f>
        <v>14544.193303571428</v>
      </c>
      <c r="AI20" s="592"/>
      <c r="AJ20" s="592"/>
      <c r="AK20" s="593"/>
      <c r="AL20" s="18"/>
      <c r="AM20" s="19"/>
      <c r="AN20" s="19"/>
    </row>
    <row r="21" spans="1:44" s="1" customFormat="1" ht="22.5" customHeight="1" thickBot="1" x14ac:dyDescent="0.25">
      <c r="A21" s="99">
        <v>566</v>
      </c>
      <c r="B21" s="101" t="s">
        <v>8</v>
      </c>
      <c r="C21" s="28">
        <v>0</v>
      </c>
      <c r="D21" s="28">
        <v>1</v>
      </c>
      <c r="E21" s="28"/>
      <c r="F21" s="28"/>
      <c r="G21" s="65">
        <v>56</v>
      </c>
      <c r="H21" s="69">
        <f t="shared" si="0"/>
        <v>56</v>
      </c>
      <c r="I21" s="69"/>
      <c r="J21" s="69"/>
      <c r="K21" s="105">
        <f>(H21*'DATOS REFERENCIALES'!$C$4)*D21</f>
        <v>306.88</v>
      </c>
      <c r="L21" s="105"/>
      <c r="M21" s="211"/>
      <c r="N21" s="169">
        <f>LOOKUP(C21,'TABLA ANTIG.'!$A$4:$A$39,'TABLA ANTIG.'!$B$4:$B$39)*(K21+L21+M21)</f>
        <v>0</v>
      </c>
      <c r="O21" s="222">
        <f>(K21+L21+M21)*0.1</f>
        <v>30.688000000000002</v>
      </c>
      <c r="P21" s="221">
        <f>IF(D21&gt;48,'DATOS REFERENCIALES'!D8+('DATOS REFERENCIALES'!F8*10),IF(D21&lt;39,'DATOS REFERENCIALES'!$E$8*D21,((D21-'DATOS REFERENCIALES'!$I$8)*'DATOS REFERENCIALES'!$F$8)+'DATOS REFERENCIALES'!D8))</f>
        <v>191.57</v>
      </c>
      <c r="Q21" s="95">
        <f>LOOKUP(C21,'TABLA ANTIG.'!$A$4:$A$39,'TABLA ANTIG.'!$B$4:$B$39)*(P21)</f>
        <v>0</v>
      </c>
      <c r="R21" s="35">
        <v>0</v>
      </c>
      <c r="S21" s="35">
        <f t="shared" si="1"/>
        <v>529.13799999999992</v>
      </c>
      <c r="T21" s="35">
        <f t="shared" si="2"/>
        <v>58.205179999999991</v>
      </c>
      <c r="U21" s="35">
        <f t="shared" si="3"/>
        <v>15.874139999999997</v>
      </c>
      <c r="V21" s="114">
        <f t="shared" si="3"/>
        <v>15.874139999999997</v>
      </c>
      <c r="W21" s="35">
        <f t="shared" si="8"/>
        <v>10.582759999999999</v>
      </c>
      <c r="X21" s="35">
        <f t="shared" si="4"/>
        <v>23.811209999999996</v>
      </c>
      <c r="Y21" s="35">
        <f t="shared" si="5"/>
        <v>124.34742999999997</v>
      </c>
      <c r="Z21" s="151">
        <f t="shared" si="6"/>
        <v>404.79056999999995</v>
      </c>
      <c r="AA21" s="171">
        <f>IF(D21&gt;38,'DATOS REFERENCIALES'!$D$10,'DATOS REFERENCIALES'!$E$10*D21)</f>
        <v>68.105000000000004</v>
      </c>
      <c r="AB21" s="95">
        <f>IF(D21&gt;40,('DATOS REFERENCIALES'!D9-((K21+N21+O21+P21+Q21+R21)-(T21+U21+V21+W21+X21))+AA21),IF((IF(H21&gt;1119,('DATOS REFERENCIALES'!$C$9-(S21-T21-U21-V21-W21-X21+AA21)),('DATOS REFERENCIALES'!$C$9/20*D21)-(((K21+N21+O21+P21+Q21+R21)-(T21+U21+V21+W21+X21)+AA21))))&lt;0,0,IF(H21&gt;1119,(('DATOS REFERENCIALES'!$C$9/20*D21)-(S21-T21-U21-V21-W21-X21+AA21)),('DATOS REFERENCIALES'!$C$9/20*D21)-(K21+N21+O21+P21+Q21+R21-T21-U21-V21-W21-X21+AA21))))</f>
        <v>257.65443000000005</v>
      </c>
      <c r="AC21" s="151">
        <f t="shared" si="7"/>
        <v>730.55</v>
      </c>
      <c r="AD21" s="190">
        <f>IF(D21&gt;'DATOS REFERENCIALES'!$I$13,'DATOS REFERENCIALES'!$D$13,('DATOS REFERENCIALES'!$E$13*D21))</f>
        <v>80.666659999999993</v>
      </c>
      <c r="AE21" s="107"/>
      <c r="AF21" s="95">
        <f>IF(D21&gt;'DATOS REFERENCIALES'!$I$11,'DATOS REFERENCIALES'!$D$11,'DATOS REFERENCIALES'!$E$11*D21)</f>
        <v>21.34</v>
      </c>
      <c r="AG21" s="171">
        <f>IF(D21&gt;'DATOS REFERENCIALES'!$I$12,'DATOS REFERENCIALES'!$D$12,'DATOS REFERENCIALES'!$E$12*D21)</f>
        <v>14</v>
      </c>
      <c r="AH21" s="95">
        <f>SUM(AC21:AG21)</f>
        <v>846.55665999999997</v>
      </c>
      <c r="AI21" s="594"/>
      <c r="AJ21" s="594"/>
      <c r="AK21" s="595"/>
      <c r="AL21" s="18"/>
      <c r="AM21" s="19"/>
      <c r="AN21" s="19"/>
      <c r="AR21" s="8"/>
    </row>
    <row r="22" spans="1:44" s="1" customFormat="1" ht="16.5" thickBot="1" x14ac:dyDescent="0.25">
      <c r="A22" s="84"/>
      <c r="B22" s="85"/>
      <c r="C22" s="86"/>
      <c r="D22" s="86"/>
      <c r="E22" s="86"/>
      <c r="F22" s="86"/>
      <c r="G22" s="80"/>
      <c r="H22" s="56"/>
      <c r="I22" s="56"/>
      <c r="J22" s="56"/>
      <c r="K22" s="53"/>
      <c r="L22" s="53"/>
      <c r="M22" s="53"/>
      <c r="N22" s="54"/>
      <c r="O22" s="87"/>
      <c r="P22" s="53"/>
      <c r="Q22" s="54"/>
      <c r="R22" s="87"/>
      <c r="S22" s="87"/>
      <c r="T22" s="87"/>
      <c r="U22" s="87"/>
      <c r="V22" s="87"/>
      <c r="W22" s="87"/>
      <c r="X22" s="87"/>
      <c r="Y22" s="87"/>
      <c r="Z22" s="57"/>
      <c r="AA22" s="58"/>
      <c r="AB22" s="57"/>
      <c r="AC22" s="57"/>
      <c r="AD22" s="59"/>
      <c r="AE22" s="59"/>
      <c r="AF22" s="82"/>
      <c r="AG22" s="82"/>
      <c r="AH22" s="57"/>
      <c r="AI22" s="88"/>
      <c r="AJ22" s="88"/>
      <c r="AK22" s="88"/>
      <c r="AL22" s="18"/>
      <c r="AM22" s="19"/>
      <c r="AN22" s="19"/>
      <c r="AR22" s="8"/>
    </row>
    <row r="23" spans="1:44" s="1" customFormat="1" ht="21.75" customHeight="1" thickBot="1" x14ac:dyDescent="0.35">
      <c r="A23" s="109" t="s">
        <v>129</v>
      </c>
      <c r="B23" s="110"/>
      <c r="C23" s="110"/>
      <c r="D23" s="110"/>
      <c r="E23" s="110"/>
      <c r="F23" s="110"/>
      <c r="G23" s="152"/>
      <c r="H23" s="152"/>
      <c r="I23" s="152"/>
      <c r="J23" s="152"/>
      <c r="K23" s="152"/>
      <c r="L23" s="152"/>
      <c r="M23" s="152"/>
      <c r="N23" s="152"/>
      <c r="O23" s="152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61" t="s">
        <v>146</v>
      </c>
      <c r="AB23" s="162"/>
      <c r="AC23" s="163"/>
      <c r="AD23" s="163"/>
      <c r="AE23" s="163"/>
      <c r="AF23" s="163"/>
      <c r="AG23" s="163"/>
      <c r="AH23" s="164"/>
      <c r="AI23" s="13"/>
      <c r="AJ23" s="13"/>
      <c r="AK23" s="13"/>
      <c r="AL23" s="18"/>
      <c r="AM23" s="19"/>
      <c r="AN23" s="19"/>
    </row>
    <row r="24" spans="1:44" s="2" customFormat="1" ht="22.5" customHeight="1" thickBot="1" x14ac:dyDescent="0.25">
      <c r="A24" s="598" t="s">
        <v>1</v>
      </c>
      <c r="B24" s="600" t="s">
        <v>0</v>
      </c>
      <c r="C24" s="585" t="s">
        <v>83</v>
      </c>
      <c r="D24" s="585" t="s">
        <v>126</v>
      </c>
      <c r="E24" s="585" t="s">
        <v>134</v>
      </c>
      <c r="F24" s="585" t="s">
        <v>120</v>
      </c>
      <c r="G24" s="585" t="s">
        <v>109</v>
      </c>
      <c r="H24" s="585" t="s">
        <v>85</v>
      </c>
      <c r="I24" s="585" t="s">
        <v>156</v>
      </c>
      <c r="J24" s="602" t="s">
        <v>155</v>
      </c>
      <c r="K24" s="602" t="s">
        <v>128</v>
      </c>
      <c r="L24" s="602" t="s">
        <v>154</v>
      </c>
      <c r="M24" s="602" t="s">
        <v>155</v>
      </c>
      <c r="N24" s="596" t="s">
        <v>91</v>
      </c>
      <c r="O24" s="596" t="s">
        <v>127</v>
      </c>
      <c r="P24" s="611" t="s">
        <v>92</v>
      </c>
      <c r="Q24" s="596" t="s">
        <v>108</v>
      </c>
      <c r="R24" s="596" t="s">
        <v>90</v>
      </c>
      <c r="S24" s="596" t="s">
        <v>74</v>
      </c>
      <c r="T24" s="604" t="s">
        <v>63</v>
      </c>
      <c r="U24" s="605"/>
      <c r="V24" s="605"/>
      <c r="W24" s="605"/>
      <c r="X24" s="606"/>
      <c r="Y24" s="613" t="s">
        <v>73</v>
      </c>
      <c r="Z24" s="585" t="s">
        <v>95</v>
      </c>
      <c r="AA24" s="585" t="s">
        <v>94</v>
      </c>
      <c r="AB24" s="585" t="s">
        <v>93</v>
      </c>
      <c r="AC24" s="585" t="s">
        <v>97</v>
      </c>
      <c r="AD24" s="585" t="s">
        <v>96</v>
      </c>
      <c r="AE24" s="585"/>
      <c r="AF24" s="585" t="s">
        <v>107</v>
      </c>
      <c r="AG24" s="618" t="s">
        <v>153</v>
      </c>
      <c r="AH24" s="585" t="s">
        <v>98</v>
      </c>
      <c r="AI24" s="17"/>
      <c r="AJ24" s="17"/>
      <c r="AK24" s="17"/>
      <c r="AL24" s="18"/>
      <c r="AM24" s="19"/>
      <c r="AN24" s="19"/>
    </row>
    <row r="25" spans="1:44" s="2" customFormat="1" ht="93" customHeight="1" thickBot="1" x14ac:dyDescent="0.25">
      <c r="A25" s="599"/>
      <c r="B25" s="601"/>
      <c r="C25" s="586"/>
      <c r="D25" s="586"/>
      <c r="E25" s="586"/>
      <c r="F25" s="586"/>
      <c r="G25" s="586"/>
      <c r="H25" s="586"/>
      <c r="I25" s="586"/>
      <c r="J25" s="603"/>
      <c r="K25" s="603"/>
      <c r="L25" s="603"/>
      <c r="M25" s="603"/>
      <c r="N25" s="597"/>
      <c r="O25" s="597"/>
      <c r="P25" s="612"/>
      <c r="Q25" s="597"/>
      <c r="R25" s="597"/>
      <c r="S25" s="597"/>
      <c r="T25" s="92" t="s">
        <v>148</v>
      </c>
      <c r="U25" s="92" t="s">
        <v>65</v>
      </c>
      <c r="V25" s="92" t="s">
        <v>66</v>
      </c>
      <c r="W25" s="92" t="s">
        <v>67</v>
      </c>
      <c r="X25" s="92" t="s">
        <v>68</v>
      </c>
      <c r="Y25" s="614"/>
      <c r="Z25" s="586"/>
      <c r="AA25" s="586"/>
      <c r="AB25" s="586"/>
      <c r="AC25" s="586"/>
      <c r="AD25" s="586"/>
      <c r="AE25" s="586"/>
      <c r="AF25" s="586"/>
      <c r="AG25" s="586"/>
      <c r="AH25" s="586"/>
      <c r="AI25" s="17"/>
      <c r="AJ25" s="17"/>
      <c r="AK25" s="17"/>
      <c r="AL25" s="18"/>
      <c r="AM25" s="19"/>
      <c r="AN25" s="19"/>
    </row>
    <row r="26" spans="1:44" s="1" customFormat="1" ht="21.75" customHeight="1" x14ac:dyDescent="0.2">
      <c r="A26" s="402">
        <v>835</v>
      </c>
      <c r="B26" s="403" t="s">
        <v>177</v>
      </c>
      <c r="C26" s="374">
        <v>0</v>
      </c>
      <c r="D26" s="374"/>
      <c r="E26" s="375"/>
      <c r="F26" s="376"/>
      <c r="G26" s="377">
        <v>3125</v>
      </c>
      <c r="H26" s="374">
        <f>SUM(G26:G26)</f>
        <v>3125</v>
      </c>
      <c r="I26" s="404"/>
      <c r="J26" s="378"/>
      <c r="K26" s="379">
        <f>H26*'DATOS REFERENCIALES'!$C$4</f>
        <v>17125</v>
      </c>
      <c r="L26" s="379"/>
      <c r="M26" s="405"/>
      <c r="N26" s="381">
        <f>LOOKUP(C26,'TABLA ANTIG.'!$A$4:$A$39,'TABLA ANTIG.'!$B$4:$B$39)*(K26)</f>
        <v>0</v>
      </c>
      <c r="O26" s="381">
        <f>(K26)*0.1</f>
        <v>1712.5</v>
      </c>
      <c r="P26" s="379">
        <f>'DATOS REFERENCIALES'!$D$8</f>
        <v>7280</v>
      </c>
      <c r="Q26" s="381">
        <f>LOOKUP(C26,'TABLA ANTIG.'!$A$4:$A$39,'TABLA ANTIG.'!$B$4:$B$39)*(P26)</f>
        <v>0</v>
      </c>
      <c r="R26" s="380">
        <v>0</v>
      </c>
      <c r="S26" s="381">
        <f t="shared" ref="S26:S33" si="9">K26+L26+M26+N26+O26+P26+Q26+R26</f>
        <v>26117.5</v>
      </c>
      <c r="T26" s="381">
        <f t="shared" ref="T26:T33" si="10">$S26*11%</f>
        <v>2872.9250000000002</v>
      </c>
      <c r="U26" s="381">
        <f t="shared" ref="U26:V33" si="11">$S26*3%</f>
        <v>783.52499999999998</v>
      </c>
      <c r="V26" s="381">
        <f t="shared" si="11"/>
        <v>783.52499999999998</v>
      </c>
      <c r="W26" s="381">
        <f t="shared" ref="W26:W33" si="12">$S26*2%</f>
        <v>522.35</v>
      </c>
      <c r="X26" s="381">
        <f t="shared" ref="X26:X33" si="13">$S26*4.5%</f>
        <v>1175.2874999999999</v>
      </c>
      <c r="Y26" s="381">
        <f t="shared" ref="Y26:Y33" si="14">SUM(T26:X26)</f>
        <v>6137.6125000000011</v>
      </c>
      <c r="Z26" s="381">
        <f t="shared" ref="Z26:Z33" si="15">S26-Y26</f>
        <v>19979.887499999997</v>
      </c>
      <c r="AA26" s="406">
        <f>'DATOS REFERENCIALES'!$D$10</f>
        <v>2588</v>
      </c>
      <c r="AB26" s="381">
        <f>IF((IF(H26&gt;2240,('DATOS REFERENCIALES'!$D$9-(S26-T26-U26-V26-W26-X26+AA26-L26-L26*0.235-M26+M26*0.235)),(('DATOS REFERENCIALES'!$D$9/2240)*H26)-(K26+N26+O26+P26+Q26+R26-T26-U26-V26-W26-X26+AA26-(L26-L26*0.235)-M26+M26*0.235)))&lt;0,0,IF(H26&gt;2240,(('DATOS REFERENCIALES'!$D$9)-(S26-T26-U26-V26-W26-X26+AA26-(L26-L26*0.235)-M26+M26*0.235)),(('DATOS REFERENCIALES'!$D$9/2240)*H26)-(K26+N26+O26+P26+Q26+R26-T26-U26-V26-W26-X26+AA26-L26-L26*0.235-M26+M26*0.235)))</f>
        <v>6654.1124999999993</v>
      </c>
      <c r="AC26" s="381">
        <f t="shared" ref="AC26:AC33" si="16">SUM(Z26:AB26)</f>
        <v>29221.999999999996</v>
      </c>
      <c r="AD26" s="407">
        <f>'DATOS REFERENCIALES'!$D$13</f>
        <v>2420</v>
      </c>
      <c r="AE26" s="408"/>
      <c r="AF26" s="381">
        <f>'DATOS REFERENCIALES'!$D$11</f>
        <v>640</v>
      </c>
      <c r="AG26" s="381">
        <f>'DATOS REFERENCIALES'!$D$12</f>
        <v>420</v>
      </c>
      <c r="AH26" s="583">
        <f>SUM(AC26:AG26)+SUM(AC27:AG27)</f>
        <v>34647.465869599997</v>
      </c>
      <c r="AI26" s="19"/>
      <c r="AJ26" s="13"/>
      <c r="AK26" s="13"/>
      <c r="AL26" s="18"/>
      <c r="AM26" s="19"/>
      <c r="AN26" s="19"/>
      <c r="AR26" s="8"/>
    </row>
    <row r="27" spans="1:44" s="1" customFormat="1" ht="27" customHeight="1" thickBot="1" x14ac:dyDescent="0.25">
      <c r="A27" s="409">
        <v>835</v>
      </c>
      <c r="B27" s="410" t="s">
        <v>177</v>
      </c>
      <c r="C27" s="389">
        <f>IF(C26&gt;0,C26,0)</f>
        <v>0</v>
      </c>
      <c r="D27" s="389"/>
      <c r="E27" s="390"/>
      <c r="F27" s="391"/>
      <c r="G27" s="392"/>
      <c r="H27" s="389"/>
      <c r="I27" s="389">
        <v>234.38</v>
      </c>
      <c r="J27" s="393" t="s">
        <v>158</v>
      </c>
      <c r="K27" s="394"/>
      <c r="L27" s="394">
        <f>I27*'DATOS REFERENCIALES'!$C$4</f>
        <v>1284.4024000000002</v>
      </c>
      <c r="M27" s="411">
        <f>IF(J27='DATOS REFERENCIALES'!$C$28,INICIAL!K26*'DATOS REFERENCIALES'!$D$28,IF(J27='DATOS REFERENCIALES'!$C$29,('DATOS REFERENCIALES'!$D$29*INICIAL!K26),IF(J27='DATOS REFERENCIALES'!$C$30,('DATOS REFERENCIALES'!$D$30*INICIAL!K26),IF(J27='DATOS REFERENCIALES'!$C$31,('DATOS REFERENCIALES'!$D$31*INICIAL!K26),IF(J27='DATOS REFERENCIALES'!$C$32,('DATOS REFERENCIALES'!$D$32*INICIAL!K26),IF(J27='DATOS REFERENCIALES'!$C$33,('DATOS REFERENCIALES'!$D$33*INICIAL!K26),IF(J27='DATOS REFERENCIALES'!$C$34,('DATOS REFERENCIALES'!$D$34*INICIAL!K26),IF(J27='DATOS REFERENCIALES'!$C$35,('DATOS REFERENCIALES'!$D$35*INICIAL!K26),0))))))))</f>
        <v>1027.5</v>
      </c>
      <c r="N27" s="396">
        <f>LOOKUP(C27,'TABLA ANTIG.'!$A$4:$A$39,'TABLA ANTIG.'!$B$4:$B$39)*(L27+M27)</f>
        <v>0</v>
      </c>
      <c r="O27" s="396">
        <f>(L27+M27)*0.1</f>
        <v>231.19024000000002</v>
      </c>
      <c r="P27" s="394"/>
      <c r="Q27" s="396"/>
      <c r="R27" s="395"/>
      <c r="S27" s="396">
        <f t="shared" si="9"/>
        <v>2543.0926399999998</v>
      </c>
      <c r="T27" s="396">
        <f t="shared" si="10"/>
        <v>279.74019039999996</v>
      </c>
      <c r="U27" s="396">
        <f t="shared" si="11"/>
        <v>76.292779199999998</v>
      </c>
      <c r="V27" s="396">
        <f t="shared" si="11"/>
        <v>76.292779199999998</v>
      </c>
      <c r="W27" s="396">
        <f t="shared" si="12"/>
        <v>50.861852800000001</v>
      </c>
      <c r="X27" s="396">
        <f t="shared" si="13"/>
        <v>114.43916879999999</v>
      </c>
      <c r="Y27" s="396">
        <f t="shared" si="14"/>
        <v>597.62677039999994</v>
      </c>
      <c r="Z27" s="396">
        <f t="shared" si="15"/>
        <v>1945.4658695999999</v>
      </c>
      <c r="AA27" s="412"/>
      <c r="AB27" s="396"/>
      <c r="AC27" s="396">
        <f t="shared" si="16"/>
        <v>1945.4658695999999</v>
      </c>
      <c r="AD27" s="413"/>
      <c r="AE27" s="414"/>
      <c r="AF27" s="396"/>
      <c r="AG27" s="396"/>
      <c r="AH27" s="584"/>
      <c r="AI27" s="19"/>
      <c r="AJ27" s="13"/>
      <c r="AK27" s="13"/>
      <c r="AL27" s="18"/>
      <c r="AM27" s="19"/>
      <c r="AN27" s="19"/>
      <c r="AR27" s="8"/>
    </row>
    <row r="28" spans="1:44" s="1" customFormat="1" ht="20.25" customHeight="1" x14ac:dyDescent="0.2">
      <c r="A28" s="433">
        <v>877</v>
      </c>
      <c r="B28" s="434" t="s">
        <v>178</v>
      </c>
      <c r="C28" s="312">
        <v>0</v>
      </c>
      <c r="D28" s="312"/>
      <c r="E28" s="362"/>
      <c r="F28" s="363"/>
      <c r="G28" s="364">
        <v>2667</v>
      </c>
      <c r="H28" s="312">
        <f>SUM(G28:G28)</f>
        <v>2667</v>
      </c>
      <c r="I28" s="435"/>
      <c r="J28" s="312"/>
      <c r="K28" s="314">
        <f>H28*'DATOS REFERENCIALES'!$C$4</f>
        <v>14615.160000000002</v>
      </c>
      <c r="L28" s="314"/>
      <c r="M28" s="315"/>
      <c r="N28" s="316">
        <f>LOOKUP(C28,'TABLA ANTIG.'!$A$4:$A$39,'TABLA ANTIG.'!$B$4:$B$39)*(K28)</f>
        <v>0</v>
      </c>
      <c r="O28" s="316">
        <f>(K28)*0.1</f>
        <v>1461.5160000000003</v>
      </c>
      <c r="P28" s="314">
        <f>'DATOS REFERENCIALES'!$D$8</f>
        <v>7280</v>
      </c>
      <c r="Q28" s="316">
        <f>LOOKUP(C28,'TABLA ANTIG.'!$A$4:$A$39,'TABLA ANTIG.'!$B$4:$B$39)*(P28)</f>
        <v>0</v>
      </c>
      <c r="R28" s="320">
        <v>0</v>
      </c>
      <c r="S28" s="316">
        <f t="shared" si="9"/>
        <v>23356.675999999999</v>
      </c>
      <c r="T28" s="316">
        <f t="shared" si="10"/>
        <v>2569.2343599999999</v>
      </c>
      <c r="U28" s="316">
        <f t="shared" si="11"/>
        <v>700.70027999999991</v>
      </c>
      <c r="V28" s="316">
        <f t="shared" si="11"/>
        <v>700.70027999999991</v>
      </c>
      <c r="W28" s="316">
        <f t="shared" si="12"/>
        <v>467.13351999999998</v>
      </c>
      <c r="X28" s="316">
        <f t="shared" si="13"/>
        <v>1051.05042</v>
      </c>
      <c r="Y28" s="316">
        <f t="shared" si="14"/>
        <v>5488.8188599999994</v>
      </c>
      <c r="Z28" s="316">
        <f t="shared" si="15"/>
        <v>17867.85714</v>
      </c>
      <c r="AA28" s="436">
        <f>'DATOS REFERENCIALES'!$D$10</f>
        <v>2588</v>
      </c>
      <c r="AB28" s="316">
        <f>IF((IF(H28&gt;2240,('DATOS REFERENCIALES'!$D$9-(S28-T28-U28-V28-W28-X28+AA28-L28-L28*0.235)),(('DATOS REFERENCIALES'!$D$9/2240)*H28)-(K28+N28+O28+P28+Q28+R28-T28-U28-V28-W28-X28+AA28-(L28-L28*0.235))))&lt;0,0,IF(H28&gt;2240,(('DATOS REFERENCIALES'!$D$9)-(S28-T28-U28-V28-W28-X28+AA28-(L28-L28*0.235))),(('DATOS REFERENCIALES'!$D$9/2240)*H28)-(K28+N28+O28+P28+Q28+R28-T28-U28-V28-W28-X28+AA28-L28-L28*0.235)))</f>
        <v>8766.1428599999999</v>
      </c>
      <c r="AC28" s="316">
        <f t="shared" si="16"/>
        <v>29222</v>
      </c>
      <c r="AD28" s="437">
        <f>'DATOS REFERENCIALES'!$D$13</f>
        <v>2420</v>
      </c>
      <c r="AE28" s="438"/>
      <c r="AF28" s="316">
        <f>'DATOS REFERENCIALES'!$D$11</f>
        <v>640</v>
      </c>
      <c r="AG28" s="316">
        <f>'DATOS REFERENCIALES'!$D$12</f>
        <v>420</v>
      </c>
      <c r="AH28" s="579">
        <f>SUM(AC28:AG28)+SUM(AC29:AG29)</f>
        <v>33624.422342600003</v>
      </c>
      <c r="AI28" s="13"/>
      <c r="AJ28" s="13"/>
      <c r="AK28" s="13"/>
      <c r="AL28" s="18"/>
      <c r="AM28" s="19"/>
      <c r="AN28" s="19"/>
      <c r="AR28" s="8"/>
    </row>
    <row r="29" spans="1:44" s="1" customFormat="1" ht="20.25" customHeight="1" thickBot="1" x14ac:dyDescent="0.25">
      <c r="A29" s="439">
        <v>877</v>
      </c>
      <c r="B29" s="440" t="s">
        <v>178</v>
      </c>
      <c r="C29" s="324">
        <f>IF(C28&gt;0,C28,0)</f>
        <v>0</v>
      </c>
      <c r="D29" s="365"/>
      <c r="E29" s="366"/>
      <c r="F29" s="367"/>
      <c r="G29" s="368"/>
      <c r="H29" s="365"/>
      <c r="I29" s="365">
        <v>200.03</v>
      </c>
      <c r="J29" s="365"/>
      <c r="K29" s="369"/>
      <c r="L29" s="369">
        <f>I29*'DATOS REFERENCIALES'!$C$4</f>
        <v>1096.1644000000001</v>
      </c>
      <c r="M29" s="441"/>
      <c r="N29" s="336">
        <f>LOOKUP(C29,'TABLA ANTIG.'!$A$4:$A$39,'TABLA ANTIG.'!$B$4:$B$39)*(L29+M29)</f>
        <v>0</v>
      </c>
      <c r="O29" s="336">
        <f>(L29+M29)*0.1</f>
        <v>109.61644000000001</v>
      </c>
      <c r="P29" s="369"/>
      <c r="Q29" s="336"/>
      <c r="R29" s="333"/>
      <c r="S29" s="336">
        <f t="shared" si="9"/>
        <v>1205.7808400000001</v>
      </c>
      <c r="T29" s="336">
        <f t="shared" si="10"/>
        <v>132.63589240000002</v>
      </c>
      <c r="U29" s="336">
        <f t="shared" si="11"/>
        <v>36.173425200000004</v>
      </c>
      <c r="V29" s="336">
        <f t="shared" si="11"/>
        <v>36.173425200000004</v>
      </c>
      <c r="W29" s="336">
        <f t="shared" si="12"/>
        <v>24.115616800000002</v>
      </c>
      <c r="X29" s="336">
        <f t="shared" si="13"/>
        <v>54.260137800000003</v>
      </c>
      <c r="Y29" s="336">
        <f t="shared" si="14"/>
        <v>283.35849740000003</v>
      </c>
      <c r="Z29" s="336">
        <f t="shared" si="15"/>
        <v>922.42234260000009</v>
      </c>
      <c r="AA29" s="442"/>
      <c r="AB29" s="336"/>
      <c r="AC29" s="336">
        <f t="shared" si="16"/>
        <v>922.42234260000009</v>
      </c>
      <c r="AD29" s="443"/>
      <c r="AE29" s="444"/>
      <c r="AF29" s="336"/>
      <c r="AG29" s="336"/>
      <c r="AH29" s="580"/>
      <c r="AI29" s="13"/>
      <c r="AJ29" s="13"/>
      <c r="AK29" s="13"/>
      <c r="AL29" s="18"/>
      <c r="AM29" s="19"/>
      <c r="AN29" s="19"/>
      <c r="AR29" s="8"/>
    </row>
    <row r="30" spans="1:44" s="1" customFormat="1" ht="23.25" customHeight="1" x14ac:dyDescent="0.2">
      <c r="A30" s="429">
        <v>838</v>
      </c>
      <c r="B30" s="430" t="s">
        <v>4</v>
      </c>
      <c r="C30" s="339">
        <v>0</v>
      </c>
      <c r="D30" s="339"/>
      <c r="E30" s="416"/>
      <c r="F30" s="417"/>
      <c r="G30" s="418">
        <v>2359</v>
      </c>
      <c r="H30" s="339">
        <f>SUM(G30:G30)</f>
        <v>2359</v>
      </c>
      <c r="I30" s="339"/>
      <c r="J30" s="339"/>
      <c r="K30" s="341">
        <f>H30*'DATOS REFERENCIALES'!$C$4</f>
        <v>12927.320000000002</v>
      </c>
      <c r="L30" s="341"/>
      <c r="M30" s="342"/>
      <c r="N30" s="343">
        <f>LOOKUP(C30,'TABLA ANTIG.'!$A$4:$A$39,'TABLA ANTIG.'!$B$4:$B$39)*(K30+L30+M30)</f>
        <v>0</v>
      </c>
      <c r="O30" s="343">
        <f>(K30)*0.1</f>
        <v>1292.7320000000002</v>
      </c>
      <c r="P30" s="341">
        <f>'DATOS REFERENCIALES'!$D$8</f>
        <v>7280</v>
      </c>
      <c r="Q30" s="343">
        <f>LOOKUP(C30,'TABLA ANTIG.'!$A$4:$A$39,'TABLA ANTIG.'!$B$4:$B$39)*(P30)</f>
        <v>0</v>
      </c>
      <c r="R30" s="346">
        <v>0</v>
      </c>
      <c r="S30" s="343">
        <f t="shared" si="9"/>
        <v>21500.052000000003</v>
      </c>
      <c r="T30" s="343">
        <f t="shared" si="10"/>
        <v>2365.0057200000006</v>
      </c>
      <c r="U30" s="343">
        <f t="shared" si="11"/>
        <v>645.00156000000004</v>
      </c>
      <c r="V30" s="343">
        <f t="shared" si="11"/>
        <v>645.00156000000004</v>
      </c>
      <c r="W30" s="343">
        <f t="shared" si="12"/>
        <v>430.0010400000001</v>
      </c>
      <c r="X30" s="343">
        <f t="shared" si="13"/>
        <v>967.50234000000012</v>
      </c>
      <c r="Y30" s="343">
        <f t="shared" si="14"/>
        <v>5052.5122200000014</v>
      </c>
      <c r="Z30" s="343">
        <f t="shared" si="15"/>
        <v>16447.539780000003</v>
      </c>
      <c r="AA30" s="419">
        <f>'DATOS REFERENCIALES'!$D$10</f>
        <v>2588</v>
      </c>
      <c r="AB30" s="343">
        <f>IF((IF(H30&gt;2240,('DATOS REFERENCIALES'!$D$9-(S30-T30-U30-V30-W30-X30+AA30-L30-L30*0.235)),(('DATOS REFERENCIALES'!$D$9/2240)*H30)-(K30+N30+O30+P30+Q30+R30-T30-U30-V30-W30-X30+AA30-(L30-L30*0.235))))&lt;0,0,IF(H30&gt;2240,(('DATOS REFERENCIALES'!$D$9)-(S30-T30-U30-V30-W30-X30+AA30-(L30-L30*0.235))),(('DATOS REFERENCIALES'!$D$9/2240)*H30)-(K30+N30+O30+P30+Q30+R30-T30-U30-V30-W30-X30+AA30-L30-L30*0.235)))</f>
        <v>10186.460219999997</v>
      </c>
      <c r="AC30" s="343">
        <f t="shared" si="16"/>
        <v>29222</v>
      </c>
      <c r="AD30" s="420">
        <f>'DATOS REFERENCIALES'!$D$13</f>
        <v>2420</v>
      </c>
      <c r="AE30" s="421"/>
      <c r="AF30" s="343">
        <f>'DATOS REFERENCIALES'!$D$11</f>
        <v>640</v>
      </c>
      <c r="AG30" s="343">
        <f>'DATOS REFERENCIALES'!$D$12</f>
        <v>420</v>
      </c>
      <c r="AH30" s="581">
        <f>SUM(AC30:AG30)+SUM(AC31:AG31)</f>
        <v>33517.898540599999</v>
      </c>
      <c r="AI30" s="13"/>
      <c r="AJ30" s="13"/>
      <c r="AK30" s="13"/>
      <c r="AL30" s="18"/>
      <c r="AM30" s="19"/>
      <c r="AN30" s="19"/>
      <c r="AR30" s="8"/>
    </row>
    <row r="31" spans="1:44" s="1" customFormat="1" ht="23.25" customHeight="1" thickBot="1" x14ac:dyDescent="0.25">
      <c r="A31" s="431">
        <v>838</v>
      </c>
      <c r="B31" s="432" t="s">
        <v>4</v>
      </c>
      <c r="C31" s="351">
        <f>IF(C30&gt;0,C30,0)</f>
        <v>0</v>
      </c>
      <c r="D31" s="351"/>
      <c r="E31" s="423"/>
      <c r="F31" s="424"/>
      <c r="G31" s="425"/>
      <c r="H31" s="351"/>
      <c r="I31" s="351">
        <v>176.93</v>
      </c>
      <c r="J31" s="351"/>
      <c r="K31" s="353"/>
      <c r="L31" s="353">
        <f>I31*'DATOS REFERENCIALES'!$C$4</f>
        <v>969.57640000000015</v>
      </c>
      <c r="M31" s="354"/>
      <c r="N31" s="357">
        <f>LOOKUP(C31,'TABLA ANTIG.'!$A$4:$A$39,'TABLA ANTIG.'!$B$4:$B$39)*(K31+L31+M31)</f>
        <v>0</v>
      </c>
      <c r="O31" s="357">
        <f>(L31+M31)*0.1</f>
        <v>96.957640000000026</v>
      </c>
      <c r="P31" s="353"/>
      <c r="Q31" s="357"/>
      <c r="R31" s="359"/>
      <c r="S31" s="357">
        <f t="shared" si="9"/>
        <v>1066.5340400000002</v>
      </c>
      <c r="T31" s="357">
        <f t="shared" si="10"/>
        <v>117.31874440000003</v>
      </c>
      <c r="U31" s="357">
        <f t="shared" si="11"/>
        <v>31.996021200000005</v>
      </c>
      <c r="V31" s="357">
        <f t="shared" si="11"/>
        <v>31.996021200000005</v>
      </c>
      <c r="W31" s="357">
        <f t="shared" si="12"/>
        <v>21.330680800000007</v>
      </c>
      <c r="X31" s="357">
        <f t="shared" si="13"/>
        <v>47.994031800000009</v>
      </c>
      <c r="Y31" s="357">
        <f t="shared" si="14"/>
        <v>250.63549940000007</v>
      </c>
      <c r="Z31" s="357">
        <f t="shared" si="15"/>
        <v>815.89854060000016</v>
      </c>
      <c r="AA31" s="426"/>
      <c r="AB31" s="357"/>
      <c r="AC31" s="357">
        <f t="shared" si="16"/>
        <v>815.89854060000016</v>
      </c>
      <c r="AD31" s="427"/>
      <c r="AE31" s="428"/>
      <c r="AF31" s="357"/>
      <c r="AG31" s="357"/>
      <c r="AH31" s="582"/>
      <c r="AI31" s="13"/>
      <c r="AJ31" s="13"/>
      <c r="AK31" s="13"/>
      <c r="AL31" s="18"/>
      <c r="AM31" s="19"/>
      <c r="AN31" s="19"/>
      <c r="AR31" s="8"/>
    </row>
    <row r="32" spans="1:44" s="1" customFormat="1" ht="21" customHeight="1" x14ac:dyDescent="0.2">
      <c r="A32" s="181">
        <v>906</v>
      </c>
      <c r="B32" s="232" t="s">
        <v>56</v>
      </c>
      <c r="C32" s="139">
        <v>0</v>
      </c>
      <c r="D32" s="139"/>
      <c r="E32" s="234"/>
      <c r="F32" s="139"/>
      <c r="G32" s="236">
        <v>2240</v>
      </c>
      <c r="H32" s="139">
        <f>SUM(G32:G32)</f>
        <v>2240</v>
      </c>
      <c r="I32" s="139"/>
      <c r="J32" s="139"/>
      <c r="K32" s="120">
        <f>H32*'DATOS REFERENCIALES'!$C$4</f>
        <v>12275.2</v>
      </c>
      <c r="L32" s="120"/>
      <c r="M32" s="224"/>
      <c r="N32" s="122">
        <f>LOOKUP(C32,'TABLA ANTIG.'!$A$4:$A$39,'TABLA ANTIG.'!$B$4:$B$39)*(K32+L32+M32)</f>
        <v>0</v>
      </c>
      <c r="O32" s="133">
        <f>(K32+L32+M32)*0.1</f>
        <v>1227.5200000000002</v>
      </c>
      <c r="P32" s="120">
        <f>'DATOS REFERENCIALES'!$D$8</f>
        <v>7280</v>
      </c>
      <c r="Q32" s="122">
        <f>LOOKUP(C32,'TABLA ANTIG.'!$A$4:$A$39,'TABLA ANTIG.'!$B$4:$B$39)*(P32)</f>
        <v>0</v>
      </c>
      <c r="R32" s="229">
        <v>0</v>
      </c>
      <c r="S32" s="133">
        <f t="shared" si="9"/>
        <v>20782.72</v>
      </c>
      <c r="T32" s="122">
        <f t="shared" si="10"/>
        <v>2286.0992000000001</v>
      </c>
      <c r="U32" s="122">
        <f t="shared" si="11"/>
        <v>623.48159999999996</v>
      </c>
      <c r="V32" s="122">
        <f t="shared" si="11"/>
        <v>623.48159999999996</v>
      </c>
      <c r="W32" s="122">
        <f t="shared" si="12"/>
        <v>415.65440000000001</v>
      </c>
      <c r="X32" s="122">
        <f t="shared" si="13"/>
        <v>935.22239999999999</v>
      </c>
      <c r="Y32" s="133">
        <f t="shared" si="14"/>
        <v>4883.9391999999998</v>
      </c>
      <c r="Z32" s="122">
        <f t="shared" si="15"/>
        <v>15898.7808</v>
      </c>
      <c r="AA32" s="240">
        <f>'DATOS REFERENCIALES'!$D$10</f>
        <v>2588</v>
      </c>
      <c r="AB32" s="122">
        <f>IF((IF(H32&gt;2240,('DATOS REFERENCIALES'!$D$9-(S32-T32-U32-V32-W32-X32+AA32-L32-L32*0.235)),(('DATOS REFERENCIALES'!$D$9/2240)*H32)-(K32+N32+O32+P32+Q32+R32-T32-U32-V32-W32-X32+AA32-(L32-L32*0.235))))&lt;0,0,IF(H32&gt;2240,(('DATOS REFERENCIALES'!$D$9)-(S32-T32-U32-V32-W32-X32+AA32-(L32-L32*0.235))),(('DATOS REFERENCIALES'!$D$9/2240)*H32)-(K32+N32+O32+P32+Q32+R32-T32-U32-V32-W32-X32+AA32-L32-L32*0.235)))</f>
        <v>10735.2192</v>
      </c>
      <c r="AC32" s="122">
        <f t="shared" si="16"/>
        <v>29222</v>
      </c>
      <c r="AD32" s="228">
        <f>'DATOS REFERENCIALES'!$D$13</f>
        <v>2420</v>
      </c>
      <c r="AE32" s="307"/>
      <c r="AF32" s="122">
        <f>'DATOS REFERENCIALES'!$D$11</f>
        <v>640</v>
      </c>
      <c r="AG32" s="122">
        <f>'DATOS REFERENCIALES'!$D$12</f>
        <v>420</v>
      </c>
      <c r="AH32" s="122">
        <f t="shared" ref="AH32:AH33" si="17">SUM(AC32:AG32)</f>
        <v>32702</v>
      </c>
      <c r="AI32" s="13"/>
      <c r="AJ32" s="13"/>
      <c r="AK32" s="13"/>
      <c r="AL32" s="18"/>
      <c r="AM32" s="19"/>
      <c r="AN32" s="19"/>
      <c r="AR32" s="8"/>
    </row>
    <row r="33" spans="1:44" s="1" customFormat="1" ht="21.75" customHeight="1" thickBot="1" x14ac:dyDescent="0.25">
      <c r="A33" s="90">
        <v>566</v>
      </c>
      <c r="B33" s="91" t="s">
        <v>9</v>
      </c>
      <c r="C33" s="69">
        <v>0</v>
      </c>
      <c r="D33" s="28">
        <v>1</v>
      </c>
      <c r="E33" s="235"/>
      <c r="F33" s="69"/>
      <c r="G33" s="237">
        <v>56</v>
      </c>
      <c r="H33" s="69">
        <f>SUM(G33:G33)</f>
        <v>56</v>
      </c>
      <c r="I33" s="69"/>
      <c r="J33" s="69"/>
      <c r="K33" s="105">
        <f>(H33*'DATOS REFERENCIALES'!$C$4)*D33</f>
        <v>306.88</v>
      </c>
      <c r="L33" s="105"/>
      <c r="M33" s="211"/>
      <c r="N33" s="95">
        <f>LOOKUP(C33,'TABLA ANTIG.'!$A$4:$A$39,'TABLA ANTIG.'!$B$4:$B$39)*(K33+L33+M33)</f>
        <v>0</v>
      </c>
      <c r="O33" s="35">
        <f>(K33+L33+M33)*0.1</f>
        <v>30.688000000000002</v>
      </c>
      <c r="P33" s="105">
        <f>IF(D33&gt;48,'DATOS REFERENCIALES'!$D$8+('DATOS REFERENCIALES'!$F$8*10),IF(D33&lt;39,'DATOS REFERENCIALES'!$E$8*D33,((D33-'DATOS REFERENCIALES'!$I$8)*'DATOS REFERENCIALES'!$F$8)+'DATOS REFERENCIALES'!$D$8))</f>
        <v>191.57</v>
      </c>
      <c r="Q33" s="95">
        <f>LOOKUP(C33,'TABLA ANTIG.'!$A$4:$A$39,'TABLA ANTIG.'!$B$4:$B$39)*(P33)</f>
        <v>0</v>
      </c>
      <c r="R33" s="238">
        <v>0</v>
      </c>
      <c r="S33" s="35">
        <f t="shared" si="9"/>
        <v>529.13799999999992</v>
      </c>
      <c r="T33" s="35">
        <f t="shared" si="10"/>
        <v>58.205179999999991</v>
      </c>
      <c r="U33" s="35">
        <f t="shared" si="11"/>
        <v>15.874139999999997</v>
      </c>
      <c r="V33" s="35">
        <f t="shared" si="11"/>
        <v>15.874139999999997</v>
      </c>
      <c r="W33" s="35">
        <f t="shared" si="12"/>
        <v>10.582759999999999</v>
      </c>
      <c r="X33" s="35">
        <f t="shared" si="13"/>
        <v>23.811209999999996</v>
      </c>
      <c r="Y33" s="35">
        <f t="shared" si="14"/>
        <v>124.34742999999997</v>
      </c>
      <c r="Z33" s="95">
        <f t="shared" si="15"/>
        <v>404.79056999999995</v>
      </c>
      <c r="AA33" s="95">
        <f>IF(D33&gt;38,'DATOS REFERENCIALES'!$D$10,'DATOS REFERENCIALES'!$E$10*D33)</f>
        <v>68.105000000000004</v>
      </c>
      <c r="AB33" s="95">
        <f>IF(D33&gt;40,('DATOS REFERENCIALES'!D19-((K33+N33+O33+P33+Q33+R33)-(T33+U33+V33+W33+X33))+AA33),IF((IF(H33&gt;1119,('DATOS REFERENCIALES'!$C$9-(S33-T33-U33-V33-W33-X33+AA33)),('DATOS REFERENCIALES'!$C$9/20*D33)-(((K33+N33+O33+P33+Q33+R33)-(T33+U33+V33+W33+X33)+AA33))))&lt;0,0,IF(H33&gt;1119,(('DATOS REFERENCIALES'!$C$9/20*D33)-(S33-T33-U33-V33-W33-X33+AA33)),('DATOS REFERENCIALES'!$C$9/20*D33)-(K33+N33+O33+P33+Q33+R33-T33-U33-V33-W33-X33+AA33))))</f>
        <v>257.65443000000005</v>
      </c>
      <c r="AC33" s="95">
        <f t="shared" si="16"/>
        <v>730.55</v>
      </c>
      <c r="AD33" s="190">
        <f>IF(D33&gt;'DATOS REFERENCIALES'!$I$13,'DATOS REFERENCIALES'!$D$13,('DATOS REFERENCIALES'!$E$13*D33))</f>
        <v>80.666659999999993</v>
      </c>
      <c r="AE33" s="306"/>
      <c r="AF33" s="95">
        <f>IF(D33&gt;'DATOS REFERENCIALES'!$I$11,'DATOS REFERENCIALES'!$D$11,'DATOS REFERENCIALES'!$E$11*D33)</f>
        <v>21.34</v>
      </c>
      <c r="AG33" s="95">
        <f>IF(D33&gt;'DATOS REFERENCIALES'!$I$12,'DATOS REFERENCIALES'!$D$12,'DATOS REFERENCIALES'!$E$12*D33)</f>
        <v>14</v>
      </c>
      <c r="AH33" s="95">
        <f t="shared" si="17"/>
        <v>846.55665999999997</v>
      </c>
      <c r="AI33" s="13"/>
      <c r="AJ33" s="13"/>
      <c r="AK33" s="13"/>
      <c r="AL33" s="18"/>
      <c r="AM33" s="19"/>
      <c r="AN33" s="19"/>
      <c r="AR33" s="8"/>
    </row>
  </sheetData>
  <dataConsolidate/>
  <mergeCells count="71">
    <mergeCell ref="L9:L10"/>
    <mergeCell ref="M9:M10"/>
    <mergeCell ref="I9:I10"/>
    <mergeCell ref="I24:I25"/>
    <mergeCell ref="L24:L25"/>
    <mergeCell ref="M24:M25"/>
    <mergeCell ref="J9:J10"/>
    <mergeCell ref="J24:J25"/>
    <mergeCell ref="G24:G25"/>
    <mergeCell ref="H24:H25"/>
    <mergeCell ref="AA24:AA25"/>
    <mergeCell ref="Z24:Z25"/>
    <mergeCell ref="S24:S25"/>
    <mergeCell ref="AB24:AB25"/>
    <mergeCell ref="AH9:AH10"/>
    <mergeCell ref="AB9:AB10"/>
    <mergeCell ref="AC24:AC25"/>
    <mergeCell ref="AC9:AC10"/>
    <mergeCell ref="AG9:AG10"/>
    <mergeCell ref="AF9:AF10"/>
    <mergeCell ref="AG24:AG25"/>
    <mergeCell ref="AF24:AF25"/>
    <mergeCell ref="AE9:AE10"/>
    <mergeCell ref="AE24:AE25"/>
    <mergeCell ref="AA9:AA10"/>
    <mergeCell ref="P9:P10"/>
    <mergeCell ref="Y24:Y25"/>
    <mergeCell ref="P24:P25"/>
    <mergeCell ref="T9:X9"/>
    <mergeCell ref="Y9:Y10"/>
    <mergeCell ref="Z9:Z10"/>
    <mergeCell ref="S9:S10"/>
    <mergeCell ref="C9:C10"/>
    <mergeCell ref="K9:K10"/>
    <mergeCell ref="R24:R25"/>
    <mergeCell ref="R9:R10"/>
    <mergeCell ref="O9:O10"/>
    <mergeCell ref="G9:G10"/>
    <mergeCell ref="H9:H10"/>
    <mergeCell ref="E9:E10"/>
    <mergeCell ref="F9:F10"/>
    <mergeCell ref="D24:D25"/>
    <mergeCell ref="N9:N10"/>
    <mergeCell ref="Q9:Q10"/>
    <mergeCell ref="Q24:Q25"/>
    <mergeCell ref="C24:C25"/>
    <mergeCell ref="E24:E25"/>
    <mergeCell ref="F24:F25"/>
    <mergeCell ref="K3:Z5"/>
    <mergeCell ref="AI11:AK21"/>
    <mergeCell ref="O24:O25"/>
    <mergeCell ref="A24:A25"/>
    <mergeCell ref="N24:N25"/>
    <mergeCell ref="B24:B25"/>
    <mergeCell ref="K24:K25"/>
    <mergeCell ref="T24:X24"/>
    <mergeCell ref="A9:A10"/>
    <mergeCell ref="B9:B10"/>
    <mergeCell ref="A6:AH6"/>
    <mergeCell ref="A7:AH7"/>
    <mergeCell ref="AA8:AH8"/>
    <mergeCell ref="AD9:AD10"/>
    <mergeCell ref="D9:D10"/>
    <mergeCell ref="AD24:AD25"/>
    <mergeCell ref="AH28:AH29"/>
    <mergeCell ref="AH30:AH31"/>
    <mergeCell ref="AH11:AH12"/>
    <mergeCell ref="AH13:AH14"/>
    <mergeCell ref="AH15:AH16"/>
    <mergeCell ref="AH26:AH27"/>
    <mergeCell ref="AH24:AH25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'DATOS REFERENCIALES'!$C$28:$C$35</xm:f>
          </x14:formula1>
          <xm:sqref>J12 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63"/>
  <sheetViews>
    <sheetView topLeftCell="A40" workbookViewId="0">
      <selection activeCell="F5" sqref="F5"/>
    </sheetView>
  </sheetViews>
  <sheetFormatPr baseColWidth="10" defaultRowHeight="12.75" x14ac:dyDescent="0.2"/>
  <sheetData>
    <row r="4" spans="1:1" ht="20.25" x14ac:dyDescent="0.3">
      <c r="A4" s="185">
        <v>1</v>
      </c>
    </row>
    <row r="5" spans="1:1" ht="20.25" x14ac:dyDescent="0.3">
      <c r="A5" s="185">
        <v>2</v>
      </c>
    </row>
    <row r="6" spans="1:1" ht="20.25" x14ac:dyDescent="0.3">
      <c r="A6" s="185">
        <v>3</v>
      </c>
    </row>
    <row r="7" spans="1:1" ht="20.25" x14ac:dyDescent="0.3">
      <c r="A7" s="185">
        <v>4</v>
      </c>
    </row>
    <row r="8" spans="1:1" ht="20.25" x14ac:dyDescent="0.3">
      <c r="A8" s="185">
        <v>5</v>
      </c>
    </row>
    <row r="9" spans="1:1" ht="20.25" x14ac:dyDescent="0.3">
      <c r="A9" s="185">
        <v>6</v>
      </c>
    </row>
    <row r="10" spans="1:1" ht="20.25" x14ac:dyDescent="0.3">
      <c r="A10" s="185">
        <v>7</v>
      </c>
    </row>
    <row r="11" spans="1:1" ht="20.25" x14ac:dyDescent="0.3">
      <c r="A11" s="185">
        <v>8</v>
      </c>
    </row>
    <row r="12" spans="1:1" ht="20.25" x14ac:dyDescent="0.3">
      <c r="A12" s="185">
        <v>9</v>
      </c>
    </row>
    <row r="13" spans="1:1" ht="20.25" x14ac:dyDescent="0.3">
      <c r="A13" s="185">
        <v>10</v>
      </c>
    </row>
    <row r="14" spans="1:1" ht="20.25" x14ac:dyDescent="0.3">
      <c r="A14" s="185">
        <v>11</v>
      </c>
    </row>
    <row r="15" spans="1:1" ht="20.25" x14ac:dyDescent="0.3">
      <c r="A15" s="185">
        <v>12</v>
      </c>
    </row>
    <row r="16" spans="1:1" ht="20.25" x14ac:dyDescent="0.3">
      <c r="A16" s="185">
        <v>13</v>
      </c>
    </row>
    <row r="17" spans="1:1" ht="20.25" x14ac:dyDescent="0.3">
      <c r="A17" s="185">
        <v>14</v>
      </c>
    </row>
    <row r="18" spans="1:1" ht="20.25" x14ac:dyDescent="0.3">
      <c r="A18" s="185">
        <v>15</v>
      </c>
    </row>
    <row r="19" spans="1:1" ht="20.25" x14ac:dyDescent="0.3">
      <c r="A19" s="185">
        <v>16</v>
      </c>
    </row>
    <row r="20" spans="1:1" ht="20.25" x14ac:dyDescent="0.3">
      <c r="A20" s="185">
        <v>17</v>
      </c>
    </row>
    <row r="21" spans="1:1" ht="20.25" x14ac:dyDescent="0.3">
      <c r="A21" s="185">
        <v>18</v>
      </c>
    </row>
    <row r="22" spans="1:1" ht="20.25" x14ac:dyDescent="0.3">
      <c r="A22" s="185">
        <v>19</v>
      </c>
    </row>
    <row r="23" spans="1:1" ht="20.25" x14ac:dyDescent="0.3">
      <c r="A23" s="185">
        <v>20</v>
      </c>
    </row>
    <row r="24" spans="1:1" ht="20.25" x14ac:dyDescent="0.3">
      <c r="A24" s="185">
        <v>21</v>
      </c>
    </row>
    <row r="25" spans="1:1" ht="20.25" x14ac:dyDescent="0.3">
      <c r="A25" s="185">
        <v>22</v>
      </c>
    </row>
    <row r="26" spans="1:1" ht="20.25" x14ac:dyDescent="0.3">
      <c r="A26" s="185">
        <v>23</v>
      </c>
    </row>
    <row r="27" spans="1:1" ht="20.25" x14ac:dyDescent="0.3">
      <c r="A27" s="185">
        <v>24</v>
      </c>
    </row>
    <row r="28" spans="1:1" ht="20.25" x14ac:dyDescent="0.3">
      <c r="A28" s="185">
        <v>25</v>
      </c>
    </row>
    <row r="29" spans="1:1" x14ac:dyDescent="0.2">
      <c r="A29">
        <v>26</v>
      </c>
    </row>
    <row r="30" spans="1:1" x14ac:dyDescent="0.2">
      <c r="A30">
        <v>27</v>
      </c>
    </row>
    <row r="31" spans="1:1" x14ac:dyDescent="0.2">
      <c r="A31">
        <v>28</v>
      </c>
    </row>
    <row r="32" spans="1:1" x14ac:dyDescent="0.2">
      <c r="A32">
        <v>29</v>
      </c>
    </row>
    <row r="33" spans="1:1" x14ac:dyDescent="0.2">
      <c r="A33">
        <v>30</v>
      </c>
    </row>
    <row r="34" spans="1:1" x14ac:dyDescent="0.2">
      <c r="A34">
        <v>31</v>
      </c>
    </row>
    <row r="35" spans="1:1" x14ac:dyDescent="0.2">
      <c r="A35">
        <v>32</v>
      </c>
    </row>
    <row r="36" spans="1:1" x14ac:dyDescent="0.2">
      <c r="A36">
        <v>33</v>
      </c>
    </row>
    <row r="37" spans="1:1" x14ac:dyDescent="0.2">
      <c r="A37">
        <v>34</v>
      </c>
    </row>
    <row r="38" spans="1:1" x14ac:dyDescent="0.2">
      <c r="A38">
        <v>35</v>
      </c>
    </row>
    <row r="39" spans="1:1" x14ac:dyDescent="0.2">
      <c r="A39">
        <v>36</v>
      </c>
    </row>
    <row r="40" spans="1:1" x14ac:dyDescent="0.2">
      <c r="A40">
        <v>37</v>
      </c>
    </row>
    <row r="41" spans="1:1" x14ac:dyDescent="0.2">
      <c r="A41">
        <v>38</v>
      </c>
    </row>
    <row r="42" spans="1:1" x14ac:dyDescent="0.2">
      <c r="A42">
        <v>39</v>
      </c>
    </row>
    <row r="43" spans="1:1" x14ac:dyDescent="0.2">
      <c r="A43">
        <v>40</v>
      </c>
    </row>
    <row r="44" spans="1:1" x14ac:dyDescent="0.2">
      <c r="A44">
        <v>41</v>
      </c>
    </row>
    <row r="45" spans="1:1" x14ac:dyDescent="0.2">
      <c r="A45">
        <v>42</v>
      </c>
    </row>
    <row r="46" spans="1:1" x14ac:dyDescent="0.2">
      <c r="A46">
        <v>43</v>
      </c>
    </row>
    <row r="47" spans="1:1" x14ac:dyDescent="0.2">
      <c r="A47">
        <v>44</v>
      </c>
    </row>
    <row r="48" spans="1:1" x14ac:dyDescent="0.2">
      <c r="A48">
        <v>45</v>
      </c>
    </row>
    <row r="49" spans="1:1" x14ac:dyDescent="0.2">
      <c r="A49">
        <v>46</v>
      </c>
    </row>
    <row r="50" spans="1:1" x14ac:dyDescent="0.2">
      <c r="A50">
        <v>47</v>
      </c>
    </row>
    <row r="51" spans="1:1" x14ac:dyDescent="0.2">
      <c r="A51">
        <v>48</v>
      </c>
    </row>
    <row r="52" spans="1:1" x14ac:dyDescent="0.2">
      <c r="A52">
        <v>49</v>
      </c>
    </row>
    <row r="53" spans="1:1" x14ac:dyDescent="0.2">
      <c r="A53">
        <v>50</v>
      </c>
    </row>
    <row r="54" spans="1:1" x14ac:dyDescent="0.2">
      <c r="A54">
        <v>51</v>
      </c>
    </row>
    <row r="55" spans="1:1" x14ac:dyDescent="0.2">
      <c r="A55">
        <v>52</v>
      </c>
    </row>
    <row r="56" spans="1:1" x14ac:dyDescent="0.2">
      <c r="A56">
        <v>53</v>
      </c>
    </row>
    <row r="57" spans="1:1" x14ac:dyDescent="0.2">
      <c r="A57">
        <v>54</v>
      </c>
    </row>
    <row r="58" spans="1:1" x14ac:dyDescent="0.2">
      <c r="A58">
        <v>55</v>
      </c>
    </row>
    <row r="59" spans="1:1" x14ac:dyDescent="0.2">
      <c r="A59">
        <v>56</v>
      </c>
    </row>
    <row r="60" spans="1:1" x14ac:dyDescent="0.2">
      <c r="A60">
        <v>57</v>
      </c>
    </row>
    <row r="61" spans="1:1" x14ac:dyDescent="0.2">
      <c r="A61">
        <v>58</v>
      </c>
    </row>
    <row r="62" spans="1:1" x14ac:dyDescent="0.2">
      <c r="A62">
        <v>59</v>
      </c>
    </row>
    <row r="63" spans="1:1" x14ac:dyDescent="0.2">
      <c r="A63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6"/>
  <sheetViews>
    <sheetView zoomScale="66" zoomScaleNormal="66" workbookViewId="0">
      <selection activeCell="B9" sqref="B9:B10"/>
    </sheetView>
  </sheetViews>
  <sheetFormatPr baseColWidth="10" defaultRowHeight="12.75" x14ac:dyDescent="0.2"/>
  <cols>
    <col min="1" max="1" width="11.5703125" bestFit="1" customWidth="1"/>
    <col min="2" max="2" width="40.5703125" bestFit="1" customWidth="1"/>
    <col min="3" max="3" width="11.5703125" bestFit="1" customWidth="1"/>
    <col min="5" max="5" width="12.7109375" hidden="1" customWidth="1"/>
    <col min="6" max="6" width="0" hidden="1" customWidth="1"/>
    <col min="7" max="7" width="11.5703125" hidden="1" customWidth="1"/>
    <col min="8" max="8" width="11.5703125" bestFit="1" customWidth="1"/>
    <col min="9" max="9" width="14" customWidth="1"/>
    <col min="10" max="10" width="15.5703125" customWidth="1"/>
    <col min="11" max="11" width="17.42578125" customWidth="1"/>
    <col min="12" max="12" width="14.7109375" customWidth="1"/>
    <col min="13" max="13" width="17.42578125" customWidth="1"/>
    <col min="14" max="14" width="16.42578125" customWidth="1"/>
    <col min="15" max="15" width="18.28515625" customWidth="1"/>
    <col min="16" max="16" width="13.42578125" bestFit="1" customWidth="1"/>
    <col min="17" max="17" width="18.140625" customWidth="1"/>
    <col min="18" max="18" width="11.5703125" hidden="1" customWidth="1"/>
    <col min="19" max="19" width="14.85546875" customWidth="1"/>
    <col min="20" max="20" width="14.5703125" customWidth="1"/>
    <col min="24" max="24" width="13.85546875" customWidth="1"/>
    <col min="25" max="25" width="14.28515625" customWidth="1"/>
    <col min="26" max="26" width="14.85546875" customWidth="1"/>
    <col min="27" max="27" width="13.85546875" customWidth="1"/>
    <col min="28" max="28" width="14.28515625" customWidth="1"/>
    <col min="29" max="29" width="15.42578125" customWidth="1"/>
    <col min="30" max="30" width="14.85546875" customWidth="1"/>
    <col min="31" max="31" width="1.140625" hidden="1" customWidth="1"/>
    <col min="32" max="32" width="13.7109375" customWidth="1"/>
    <col min="33" max="33" width="15.7109375" customWidth="1"/>
    <col min="34" max="34" width="14.7109375" customWidth="1"/>
  </cols>
  <sheetData>
    <row r="1" spans="1:40" s="1" customFormat="1" x14ac:dyDescent="0.2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1" customFormat="1" x14ac:dyDescent="0.2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s="1" customFormat="1" ht="12.75" customHeight="1" x14ac:dyDescent="0.2">
      <c r="A3" s="10"/>
      <c r="C3" s="13"/>
      <c r="D3" s="13"/>
      <c r="E3" s="13"/>
      <c r="F3" s="13"/>
      <c r="G3" s="13"/>
      <c r="H3" s="13"/>
      <c r="I3" s="13"/>
      <c r="J3" s="13"/>
      <c r="K3" s="587" t="s">
        <v>88</v>
      </c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s="1" customFormat="1" ht="12.75" customHeight="1" x14ac:dyDescent="0.2">
      <c r="A4" s="10"/>
      <c r="C4" s="13"/>
      <c r="D4" s="13"/>
      <c r="E4" s="13"/>
      <c r="F4" s="13"/>
      <c r="G4" s="13"/>
      <c r="H4" s="13"/>
      <c r="I4" s="13"/>
      <c r="J4" s="13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s="1" customFormat="1" ht="12.75" customHeight="1" x14ac:dyDescent="0.2">
      <c r="A5" s="10"/>
      <c r="C5" s="13"/>
      <c r="D5" s="13"/>
      <c r="E5" s="13"/>
      <c r="F5" s="13"/>
      <c r="G5" s="13"/>
      <c r="H5" s="13"/>
      <c r="I5" s="13"/>
      <c r="J5" s="13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s="1" customFormat="1" ht="27.75" x14ac:dyDescent="0.4">
      <c r="A6" s="607" t="s">
        <v>185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13"/>
      <c r="AJ6" s="13"/>
      <c r="AK6" s="13"/>
      <c r="AL6" s="13"/>
      <c r="AM6" s="13"/>
      <c r="AN6" s="13"/>
    </row>
    <row r="7" spans="1:40" s="1" customFormat="1" ht="18.75" thickBot="1" x14ac:dyDescent="0.3">
      <c r="A7" s="608" t="s">
        <v>89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9"/>
      <c r="AH7" s="609"/>
      <c r="AI7" s="13"/>
      <c r="AJ7" s="13"/>
      <c r="AK7" s="13"/>
      <c r="AL7" s="13"/>
      <c r="AM7" s="13"/>
      <c r="AN7" s="13"/>
    </row>
    <row r="8" spans="1:40" ht="21" thickBot="1" x14ac:dyDescent="0.35">
      <c r="A8" s="109" t="s">
        <v>135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625" t="s">
        <v>135</v>
      </c>
      <c r="AD8" s="610"/>
      <c r="AE8" s="610"/>
      <c r="AF8" s="610"/>
      <c r="AG8" s="610"/>
      <c r="AH8" s="610"/>
    </row>
    <row r="9" spans="1:40" s="2" customFormat="1" ht="26.25" customHeight="1" thickBot="1" x14ac:dyDescent="0.25">
      <c r="A9" s="619" t="s">
        <v>1</v>
      </c>
      <c r="B9" s="619" t="s">
        <v>0</v>
      </c>
      <c r="C9" s="586" t="s">
        <v>83</v>
      </c>
      <c r="D9" s="586" t="s">
        <v>126</v>
      </c>
      <c r="E9" s="586" t="s">
        <v>119</v>
      </c>
      <c r="F9" s="586" t="s">
        <v>120</v>
      </c>
      <c r="G9" s="586" t="s">
        <v>109</v>
      </c>
      <c r="H9" s="586" t="s">
        <v>85</v>
      </c>
      <c r="I9" s="585" t="s">
        <v>156</v>
      </c>
      <c r="J9" s="602" t="s">
        <v>155</v>
      </c>
      <c r="K9" s="602" t="s">
        <v>128</v>
      </c>
      <c r="L9" s="602" t="s">
        <v>154</v>
      </c>
      <c r="M9" s="602" t="s">
        <v>155</v>
      </c>
      <c r="N9" s="585" t="s">
        <v>91</v>
      </c>
      <c r="O9" s="585" t="s">
        <v>127</v>
      </c>
      <c r="P9" s="602" t="s">
        <v>92</v>
      </c>
      <c r="Q9" s="585" t="s">
        <v>108</v>
      </c>
      <c r="R9" s="616" t="s">
        <v>90</v>
      </c>
      <c r="S9" s="585" t="s">
        <v>74</v>
      </c>
      <c r="T9" s="630" t="s">
        <v>63</v>
      </c>
      <c r="U9" s="631"/>
      <c r="V9" s="631"/>
      <c r="W9" s="631"/>
      <c r="X9" s="631"/>
      <c r="Y9" s="585" t="s">
        <v>73</v>
      </c>
      <c r="Z9" s="585" t="s">
        <v>95</v>
      </c>
      <c r="AA9" s="585" t="s">
        <v>94</v>
      </c>
      <c r="AB9" s="585" t="s">
        <v>93</v>
      </c>
      <c r="AC9" s="585" t="s">
        <v>97</v>
      </c>
      <c r="AD9" s="585" t="s">
        <v>96</v>
      </c>
      <c r="AE9" s="585" t="s">
        <v>182</v>
      </c>
      <c r="AF9" s="585" t="s">
        <v>184</v>
      </c>
      <c r="AG9" s="618" t="s">
        <v>183</v>
      </c>
      <c r="AH9" s="585" t="s">
        <v>98</v>
      </c>
      <c r="AI9" s="17"/>
      <c r="AJ9" s="17"/>
      <c r="AK9" s="17"/>
      <c r="AL9" s="18"/>
      <c r="AM9" s="19"/>
      <c r="AN9" s="19"/>
    </row>
    <row r="10" spans="1:40" s="2" customFormat="1" ht="87.75" customHeight="1" thickBot="1" x14ac:dyDescent="0.25">
      <c r="A10" s="620"/>
      <c r="B10" s="620"/>
      <c r="C10" s="586"/>
      <c r="D10" s="586"/>
      <c r="E10" s="586"/>
      <c r="F10" s="586"/>
      <c r="G10" s="586"/>
      <c r="H10" s="586"/>
      <c r="I10" s="586"/>
      <c r="J10" s="603"/>
      <c r="K10" s="603"/>
      <c r="L10" s="603"/>
      <c r="M10" s="603"/>
      <c r="N10" s="586"/>
      <c r="O10" s="586"/>
      <c r="P10" s="603"/>
      <c r="Q10" s="586"/>
      <c r="R10" s="617"/>
      <c r="S10" s="586"/>
      <c r="T10" s="112" t="s">
        <v>148</v>
      </c>
      <c r="U10" s="92" t="s">
        <v>65</v>
      </c>
      <c r="V10" s="92" t="s">
        <v>66</v>
      </c>
      <c r="W10" s="92" t="s">
        <v>67</v>
      </c>
      <c r="X10" s="92" t="s">
        <v>68</v>
      </c>
      <c r="Y10" s="586"/>
      <c r="Z10" s="626"/>
      <c r="AA10" s="626"/>
      <c r="AB10" s="586"/>
      <c r="AC10" s="626"/>
      <c r="AD10" s="626"/>
      <c r="AE10" s="586"/>
      <c r="AF10" s="586"/>
      <c r="AG10" s="586"/>
      <c r="AH10" s="586"/>
      <c r="AI10" s="17"/>
      <c r="AJ10" s="17"/>
      <c r="AK10" s="17"/>
      <c r="AL10" s="18"/>
      <c r="AM10" s="19"/>
      <c r="AN10" s="19"/>
    </row>
    <row r="11" spans="1:40" s="1" customFormat="1" ht="21.75" customHeight="1" x14ac:dyDescent="0.2">
      <c r="A11" s="402">
        <v>585</v>
      </c>
      <c r="B11" s="445" t="s">
        <v>5</v>
      </c>
      <c r="C11" s="374">
        <v>0</v>
      </c>
      <c r="D11" s="374"/>
      <c r="E11" s="374"/>
      <c r="F11" s="374"/>
      <c r="G11" s="446">
        <v>1783</v>
      </c>
      <c r="H11" s="374">
        <f t="shared" ref="H11:H21" si="0">SUM(G11:G11)</f>
        <v>1783</v>
      </c>
      <c r="I11" s="374"/>
      <c r="J11" s="374"/>
      <c r="K11" s="379">
        <f>H11*'DATOS REFERENCIALES'!$C$4</f>
        <v>9770.84</v>
      </c>
      <c r="L11" s="379"/>
      <c r="M11" s="379"/>
      <c r="N11" s="381">
        <f>LOOKUP(C11,'TABLA ANTIG.'!$A$4:$A$39,'TABLA ANTIG.'!$B$4:$B$39)*(K11)</f>
        <v>0</v>
      </c>
      <c r="O11" s="381">
        <f t="shared" ref="O11:O21" si="1">K11*0.1</f>
        <v>977.08400000000006</v>
      </c>
      <c r="P11" s="379">
        <f>'DATOS REFERENCIALES'!$C$8</f>
        <v>3640</v>
      </c>
      <c r="Q11" s="381">
        <f>LOOKUP(C11,'TABLA ANTIG.'!$A$4:$A$39,'TABLA ANTIG.'!$B$4:$B$39)*(P11)</f>
        <v>0</v>
      </c>
      <c r="R11" s="385">
        <v>0</v>
      </c>
      <c r="S11" s="381">
        <f t="shared" ref="S11:S21" si="2">K11+N11+O11+P11+Q11+R11</f>
        <v>14387.924000000001</v>
      </c>
      <c r="T11" s="381">
        <f t="shared" ref="T11:T21" si="3">$S11*11%</f>
        <v>1582.67164</v>
      </c>
      <c r="U11" s="381">
        <f t="shared" ref="U11:V21" si="4">$S11*3%</f>
        <v>431.63772</v>
      </c>
      <c r="V11" s="381">
        <f t="shared" si="4"/>
        <v>431.63772</v>
      </c>
      <c r="W11" s="381">
        <f t="shared" ref="W11:W21" si="5">$S11*2%</f>
        <v>287.75848000000002</v>
      </c>
      <c r="X11" s="381">
        <f t="shared" ref="X11:X21" si="6">$S11*4.5%</f>
        <v>647.45658000000003</v>
      </c>
      <c r="Y11" s="381">
        <f t="shared" ref="Y11:Y21" si="7">SUM(T11:X11)</f>
        <v>3381.1621399999999</v>
      </c>
      <c r="Z11" s="381">
        <f t="shared" ref="Z11:Z21" si="8">S11-Y11</f>
        <v>11006.761860000001</v>
      </c>
      <c r="AA11" s="384">
        <f>'DATOS REFERENCIALES'!$C$10</f>
        <v>1294</v>
      </c>
      <c r="AB11" s="381">
        <f>IF((IF(H11&gt;1119,('DATOS REFERENCIALES'!$C$9-(S11-T11-U11-V11-W11-X11+AA11)),(('DATOS REFERENCIALES'!$C$9/1120)*H11)-(K11+N11+O11+P11+Q11+R11-T11-U11-V11-W11-X11+AA11)))&lt;0,0,IF(H11&gt;1119,(('DATOS REFERENCIALES'!$C$9)-(S11-T11-U11-V11-W11-X11+AA11)),(('DATOS REFERENCIALES'!$C$9/1120)*H11)-(K11+N11+O11+P11+Q11+R11-T11-U11-V11-W11-X11+AA11)))</f>
        <v>2310.2381400000013</v>
      </c>
      <c r="AC11" s="385">
        <f t="shared" ref="AC11:AC21" si="9">SUM(Z11:AB11)</f>
        <v>14611.000000000002</v>
      </c>
      <c r="AD11" s="386">
        <f>'DATOS REFERENCIALES'!$C$13</f>
        <v>1210</v>
      </c>
      <c r="AE11" s="408">
        <f>IF(H11&gt;1119,'DATOS REFERENCIALES'!$C$15,'DATOS REFERENCIALES'!$C$15/1120*H11)</f>
        <v>0</v>
      </c>
      <c r="AF11" s="385">
        <f>'DATOS REFERENCIALES'!$C$11</f>
        <v>320</v>
      </c>
      <c r="AG11" s="384">
        <f>'DATOS REFERENCIALES'!$C$12</f>
        <v>210</v>
      </c>
      <c r="AH11" s="583">
        <f>SUM(AC11:AG11)+SUM(AC12:AG12)</f>
        <v>17461.014908200003</v>
      </c>
      <c r="AI11" s="13"/>
      <c r="AJ11" s="13"/>
      <c r="AK11" s="13"/>
      <c r="AL11" s="18"/>
      <c r="AM11" s="19"/>
      <c r="AN11" s="19"/>
    </row>
    <row r="12" spans="1:40" s="1" customFormat="1" ht="22.5" customHeight="1" thickBot="1" x14ac:dyDescent="0.25">
      <c r="A12" s="409">
        <v>585</v>
      </c>
      <c r="B12" s="447" t="s">
        <v>5</v>
      </c>
      <c r="C12" s="389">
        <v>0</v>
      </c>
      <c r="D12" s="389"/>
      <c r="E12" s="389"/>
      <c r="F12" s="389"/>
      <c r="G12" s="448"/>
      <c r="H12" s="389"/>
      <c r="I12" s="389">
        <v>133.72999999999999</v>
      </c>
      <c r="J12" s="393" t="s">
        <v>158</v>
      </c>
      <c r="K12" s="394"/>
      <c r="L12" s="394">
        <f>I12*'DATOS REFERENCIALES'!$C$4</f>
        <v>732.84040000000005</v>
      </c>
      <c r="M12" s="394">
        <f>IF(J12='DATOS REFERENCIALES'!$C$28,K11*'DATOS REFERENCIALES'!$D$28,IF(J12='DATOS REFERENCIALES'!$C$29,('DATOS REFERENCIALES'!$D$29*K11),IF(J12='DATOS REFERENCIALES'!$C$30,('DATOS REFERENCIALES'!$D$30*K11),IF(J12='DATOS REFERENCIALES'!$C$31,('DATOS REFERENCIALES'!$D$31*K11),IF(J12='DATOS REFERENCIALES'!$C$32,('DATOS REFERENCIALES'!$D$32*K11),IF(J12='DATOS REFERENCIALES'!$C$33,('DATOS REFERENCIALES'!$D$33*K11),IF(J12='DATOS REFERENCIALES'!$C$34,('DATOS REFERENCIALES'!$D$34*K11),IF(J12='DATOS REFERENCIALES'!$C$35,('DATOS REFERENCIALES'!$D$35*K11),0))))))))</f>
        <v>586.25040000000001</v>
      </c>
      <c r="N12" s="396">
        <f>LOOKUP(C12,'TABLA ANTIG.'!$A$4:$A$39,'TABLA ANTIG.'!$B$4:$B$39)*(L12+M12)</f>
        <v>0</v>
      </c>
      <c r="O12" s="396">
        <f>(L12+M12)*0.1</f>
        <v>131.90907999999999</v>
      </c>
      <c r="P12" s="394"/>
      <c r="Q12" s="396"/>
      <c r="R12" s="395"/>
      <c r="S12" s="396">
        <f>L12+M12+N12+O12+P12+Q12+R12</f>
        <v>1450.9998799999998</v>
      </c>
      <c r="T12" s="399">
        <f t="shared" si="3"/>
        <v>159.60998679999997</v>
      </c>
      <c r="U12" s="396">
        <f t="shared" si="4"/>
        <v>43.529996399999995</v>
      </c>
      <c r="V12" s="399">
        <f t="shared" si="4"/>
        <v>43.529996399999995</v>
      </c>
      <c r="W12" s="396">
        <f>$S12*2%</f>
        <v>29.019997599999996</v>
      </c>
      <c r="X12" s="396">
        <f t="shared" si="6"/>
        <v>65.294994599999995</v>
      </c>
      <c r="Y12" s="396">
        <f t="shared" si="7"/>
        <v>340.98497179999993</v>
      </c>
      <c r="Z12" s="400">
        <f t="shared" si="8"/>
        <v>1110.0149081999998</v>
      </c>
      <c r="AA12" s="396"/>
      <c r="AB12" s="396"/>
      <c r="AC12" s="395">
        <f t="shared" si="9"/>
        <v>1110.0149081999998</v>
      </c>
      <c r="AD12" s="401"/>
      <c r="AE12" s="414"/>
      <c r="AF12" s="395"/>
      <c r="AG12" s="396"/>
      <c r="AH12" s="584"/>
      <c r="AI12" s="13"/>
      <c r="AJ12" s="13"/>
      <c r="AK12" s="13"/>
      <c r="AL12" s="18"/>
      <c r="AM12" s="19"/>
      <c r="AN12" s="19"/>
    </row>
    <row r="13" spans="1:40" s="1" customFormat="1" ht="24" customHeight="1" x14ac:dyDescent="0.2">
      <c r="A13" s="433">
        <v>840</v>
      </c>
      <c r="B13" s="311" t="s">
        <v>3</v>
      </c>
      <c r="C13" s="312">
        <v>0</v>
      </c>
      <c r="D13" s="312"/>
      <c r="E13" s="312"/>
      <c r="F13" s="312"/>
      <c r="G13" s="313">
        <v>1545</v>
      </c>
      <c r="H13" s="312">
        <f t="shared" si="0"/>
        <v>1545</v>
      </c>
      <c r="I13" s="312"/>
      <c r="J13" s="312"/>
      <c r="K13" s="314">
        <f>H13*'DATOS REFERENCIALES'!$C$4</f>
        <v>8466.6</v>
      </c>
      <c r="L13" s="314"/>
      <c r="M13" s="314"/>
      <c r="N13" s="316">
        <f>LOOKUP(C13,'TABLA ANTIG.'!$A$4:$A$39,'TABLA ANTIG.'!$B$4:$B$39)*(K13)</f>
        <v>0</v>
      </c>
      <c r="O13" s="316">
        <f t="shared" si="1"/>
        <v>846.66000000000008</v>
      </c>
      <c r="P13" s="314">
        <f>'DATOS REFERENCIALES'!$C$8</f>
        <v>3640</v>
      </c>
      <c r="Q13" s="316">
        <f>LOOKUP(C13,'TABLA ANTIG.'!$A$4:$A$39,'TABLA ANTIG.'!$B$4:$B$39)*(P13)</f>
        <v>0</v>
      </c>
      <c r="R13" s="453">
        <v>0</v>
      </c>
      <c r="S13" s="454">
        <f t="shared" si="2"/>
        <v>12953.26</v>
      </c>
      <c r="T13" s="454">
        <f t="shared" si="3"/>
        <v>1424.8586</v>
      </c>
      <c r="U13" s="454">
        <f t="shared" si="4"/>
        <v>388.59780000000001</v>
      </c>
      <c r="V13" s="454">
        <f t="shared" si="4"/>
        <v>388.59780000000001</v>
      </c>
      <c r="W13" s="454">
        <f t="shared" si="5"/>
        <v>259.0652</v>
      </c>
      <c r="X13" s="454">
        <f t="shared" si="6"/>
        <v>582.89670000000001</v>
      </c>
      <c r="Y13" s="454">
        <f t="shared" si="7"/>
        <v>3044.0160999999998</v>
      </c>
      <c r="Z13" s="454">
        <f t="shared" si="8"/>
        <v>9909.2439000000013</v>
      </c>
      <c r="AA13" s="455">
        <f>'DATOS REFERENCIALES'!$C$10</f>
        <v>1294</v>
      </c>
      <c r="AB13" s="454">
        <f>IF((IF(H13&gt;1119,('DATOS REFERENCIALES'!$C$9-(S13-T13-U13-V13-W13-X13+AA13)),(('DATOS REFERENCIALES'!$C$9/1120)*H13)-(K13+N13+O13+P13+Q13+R13-T13-U13-V13-W13-X13+AA13)))&lt;0,0,IF(H13&gt;1119,(('DATOS REFERENCIALES'!$C$9)-(S13-T13-U13-V13-W13-X13+AA13)),(('DATOS REFERENCIALES'!$C$9/1120)*H13)-(K13+N13+O13+P13+Q13+R13-T13-U13-V13-W13-X13+AA13)))</f>
        <v>3407.7560999999969</v>
      </c>
      <c r="AC13" s="453">
        <f t="shared" si="9"/>
        <v>14610.999999999998</v>
      </c>
      <c r="AD13" s="573">
        <f>'DATOS REFERENCIALES'!$C$13</f>
        <v>1210</v>
      </c>
      <c r="AE13" s="438">
        <f>IF(H13&gt;1119,'DATOS REFERENCIALES'!$C$15,'DATOS REFERENCIALES'!$C$15/1120*H13)</f>
        <v>0</v>
      </c>
      <c r="AF13" s="453">
        <f>'DATOS REFERENCIALES'!$C$11</f>
        <v>320</v>
      </c>
      <c r="AG13" s="455">
        <f>'DATOS REFERENCIALES'!$C$12</f>
        <v>210</v>
      </c>
      <c r="AH13" s="579">
        <f>SUM(AC13:AG13)+SUM(AC14:AG14)</f>
        <v>16885.371349599998</v>
      </c>
      <c r="AI13" s="13"/>
      <c r="AJ13" s="13"/>
      <c r="AK13" s="13"/>
      <c r="AL13" s="18"/>
      <c r="AM13" s="19"/>
      <c r="AN13" s="19"/>
    </row>
    <row r="14" spans="1:40" s="1" customFormat="1" ht="28.5" customHeight="1" thickBot="1" x14ac:dyDescent="0.25">
      <c r="A14" s="439">
        <v>840</v>
      </c>
      <c r="B14" s="456" t="s">
        <v>3</v>
      </c>
      <c r="C14" s="324">
        <f>IF(C13&gt;0,C13,0)</f>
        <v>0</v>
      </c>
      <c r="D14" s="365"/>
      <c r="E14" s="365"/>
      <c r="F14" s="365"/>
      <c r="G14" s="457"/>
      <c r="H14" s="365"/>
      <c r="I14" s="365">
        <v>115.88</v>
      </c>
      <c r="J14" s="458"/>
      <c r="K14" s="369"/>
      <c r="L14" s="369">
        <f>I14*'DATOS REFERENCIALES'!$C$4</f>
        <v>635.02240000000006</v>
      </c>
      <c r="M14" s="369"/>
      <c r="N14" s="336">
        <f>LOOKUP(C14,'TABLA ANTIG.'!$A$4:$A$39,'TABLA ANTIG.'!$B$4:$B$39)*(L14+M14)</f>
        <v>0</v>
      </c>
      <c r="O14" s="336">
        <f>(L14+M14)*0.1</f>
        <v>63.502240000000008</v>
      </c>
      <c r="P14" s="369"/>
      <c r="Q14" s="336"/>
      <c r="R14" s="333"/>
      <c r="S14" s="336">
        <f>L14+M14+N14+O14+P14+Q14+R14</f>
        <v>698.52464000000009</v>
      </c>
      <c r="T14" s="370">
        <f t="shared" si="3"/>
        <v>76.837710400000006</v>
      </c>
      <c r="U14" s="336">
        <f t="shared" si="4"/>
        <v>20.955739200000004</v>
      </c>
      <c r="V14" s="370">
        <f t="shared" si="4"/>
        <v>20.955739200000004</v>
      </c>
      <c r="W14" s="336">
        <f>$S14*2%</f>
        <v>13.970492800000002</v>
      </c>
      <c r="X14" s="336">
        <f t="shared" si="6"/>
        <v>31.433608800000002</v>
      </c>
      <c r="Y14" s="336">
        <f t="shared" si="7"/>
        <v>164.1532904</v>
      </c>
      <c r="Z14" s="371">
        <f t="shared" si="8"/>
        <v>534.37134960000003</v>
      </c>
      <c r="AA14" s="336"/>
      <c r="AB14" s="336"/>
      <c r="AC14" s="333">
        <f t="shared" si="9"/>
        <v>534.37134960000003</v>
      </c>
      <c r="AD14" s="571"/>
      <c r="AE14" s="444"/>
      <c r="AF14" s="333"/>
      <c r="AG14" s="336"/>
      <c r="AH14" s="580"/>
      <c r="AI14" s="13"/>
      <c r="AJ14" s="13"/>
      <c r="AK14" s="13"/>
      <c r="AL14" s="18"/>
      <c r="AM14" s="19"/>
      <c r="AN14" s="19"/>
    </row>
    <row r="15" spans="1:40" s="1" customFormat="1" ht="22.5" customHeight="1" x14ac:dyDescent="0.2">
      <c r="A15" s="415">
        <v>846</v>
      </c>
      <c r="B15" s="338" t="s">
        <v>4</v>
      </c>
      <c r="C15" s="339">
        <v>0</v>
      </c>
      <c r="D15" s="339"/>
      <c r="E15" s="339"/>
      <c r="F15" s="339"/>
      <c r="G15" s="340">
        <v>1307</v>
      </c>
      <c r="H15" s="339">
        <f t="shared" si="0"/>
        <v>1307</v>
      </c>
      <c r="I15" s="339"/>
      <c r="J15" s="339"/>
      <c r="K15" s="341">
        <f>H15*'DATOS REFERENCIALES'!$C$4</f>
        <v>7162.3600000000006</v>
      </c>
      <c r="L15" s="341"/>
      <c r="M15" s="341"/>
      <c r="N15" s="343">
        <f>LOOKUP(C15,'TABLA ANTIG.'!$A$4:$A$39,'TABLA ANTIG.'!$B$4:$B$39)*(K15)</f>
        <v>0</v>
      </c>
      <c r="O15" s="343">
        <f t="shared" si="1"/>
        <v>716.2360000000001</v>
      </c>
      <c r="P15" s="341">
        <f>'DATOS REFERENCIALES'!$C$8</f>
        <v>3640</v>
      </c>
      <c r="Q15" s="343">
        <f>LOOKUP(C15,'TABLA ANTIG.'!$A$4:$A$39,'TABLA ANTIG.'!$B$4:$B$39)*(P15)</f>
        <v>0</v>
      </c>
      <c r="R15" s="449">
        <v>0</v>
      </c>
      <c r="S15" s="450">
        <f t="shared" si="2"/>
        <v>11518.596000000001</v>
      </c>
      <c r="T15" s="450">
        <f t="shared" si="3"/>
        <v>1267.0455600000003</v>
      </c>
      <c r="U15" s="450">
        <f t="shared" si="4"/>
        <v>345.55788000000001</v>
      </c>
      <c r="V15" s="450">
        <f t="shared" si="4"/>
        <v>345.55788000000001</v>
      </c>
      <c r="W15" s="450">
        <f t="shared" si="5"/>
        <v>230.37192000000005</v>
      </c>
      <c r="X15" s="450">
        <f t="shared" si="6"/>
        <v>518.33681999999999</v>
      </c>
      <c r="Y15" s="450">
        <f t="shared" si="7"/>
        <v>2706.8700600000006</v>
      </c>
      <c r="Z15" s="450">
        <f t="shared" si="8"/>
        <v>8811.7259400000003</v>
      </c>
      <c r="AA15" s="451">
        <f>'DATOS REFERENCIALES'!$C$10</f>
        <v>1294</v>
      </c>
      <c r="AB15" s="450">
        <f>IF((IF(H15&gt;1119,('DATOS REFERENCIALES'!$C$9-(S15-T15-U15-V15-W15-X15+AA15)),(('DATOS REFERENCIALES'!$C$9/1120)*H15)-(K15+N15+O15+P15+Q15+R15-T15-U15-V15-W15-X15+AA15)))&lt;0,0,IF(H15&gt;1119,(('DATOS REFERENCIALES'!$C$9)-(S15-T15-U15-V15-W15-X15+AA15)),(('DATOS REFERENCIALES'!$C$9/1120)*H15)-(K15+N15+O15+P15+Q15+R15-T15-U15-V15-W15-X15+AA15)))</f>
        <v>4505.2740599999997</v>
      </c>
      <c r="AC15" s="449">
        <f t="shared" si="9"/>
        <v>14611</v>
      </c>
      <c r="AD15" s="574">
        <f>'DATOS REFERENCIALES'!$C$13</f>
        <v>1210</v>
      </c>
      <c r="AE15" s="421">
        <f>IF(H15&gt;1119,'DATOS REFERENCIALES'!$C$15,'DATOS REFERENCIALES'!$C$15/1120*H15)</f>
        <v>0</v>
      </c>
      <c r="AF15" s="449">
        <f>'DATOS REFERENCIALES'!$C$11</f>
        <v>320</v>
      </c>
      <c r="AG15" s="451">
        <f>'DATOS REFERENCIALES'!$C$12</f>
        <v>210</v>
      </c>
      <c r="AH15" s="581">
        <f>SUM(AC15:AG15)+SUM(AC16:AG16)</f>
        <v>16803.057502600001</v>
      </c>
      <c r="AI15" s="13"/>
      <c r="AJ15" s="13"/>
      <c r="AK15" s="13"/>
      <c r="AL15" s="18"/>
      <c r="AM15" s="19"/>
      <c r="AN15" s="19"/>
    </row>
    <row r="16" spans="1:40" s="1" customFormat="1" ht="24" customHeight="1" thickBot="1" x14ac:dyDescent="0.25">
      <c r="A16" s="422">
        <v>846</v>
      </c>
      <c r="B16" s="350" t="s">
        <v>4</v>
      </c>
      <c r="C16" s="351">
        <f>IF(C15&gt;0,C15,0)</f>
        <v>0</v>
      </c>
      <c r="D16" s="351"/>
      <c r="E16" s="351"/>
      <c r="F16" s="351"/>
      <c r="G16" s="352"/>
      <c r="H16" s="351"/>
      <c r="I16" s="351">
        <v>98.03</v>
      </c>
      <c r="J16" s="452"/>
      <c r="K16" s="353"/>
      <c r="L16" s="353">
        <f>I16*'DATOS REFERENCIALES'!$C$4</f>
        <v>537.20440000000008</v>
      </c>
      <c r="M16" s="353"/>
      <c r="N16" s="357">
        <f>LOOKUP(C16,'TABLA ANTIG.'!$A$4:$A$39,'TABLA ANTIG.'!$B$4:$B$39)*(L16+M16)</f>
        <v>0</v>
      </c>
      <c r="O16" s="357">
        <f>(L16+M16)*0.1</f>
        <v>53.720440000000011</v>
      </c>
      <c r="P16" s="353"/>
      <c r="Q16" s="357"/>
      <c r="R16" s="359"/>
      <c r="S16" s="357">
        <f>L16+M16+N16+O16+P16+Q16+R16</f>
        <v>590.92484000000013</v>
      </c>
      <c r="T16" s="358">
        <f t="shared" si="3"/>
        <v>65.001732400000009</v>
      </c>
      <c r="U16" s="357">
        <f t="shared" si="4"/>
        <v>17.727745200000005</v>
      </c>
      <c r="V16" s="358">
        <f t="shared" si="4"/>
        <v>17.727745200000005</v>
      </c>
      <c r="W16" s="357">
        <f>$S16*2%</f>
        <v>11.818496800000004</v>
      </c>
      <c r="X16" s="357">
        <f t="shared" si="6"/>
        <v>26.591617800000005</v>
      </c>
      <c r="Y16" s="357">
        <f t="shared" si="7"/>
        <v>138.86733740000003</v>
      </c>
      <c r="Z16" s="360">
        <f t="shared" si="8"/>
        <v>452.05750260000013</v>
      </c>
      <c r="AA16" s="357"/>
      <c r="AB16" s="357"/>
      <c r="AC16" s="359">
        <f t="shared" si="9"/>
        <v>452.05750260000013</v>
      </c>
      <c r="AD16" s="361"/>
      <c r="AE16" s="459"/>
      <c r="AF16" s="359"/>
      <c r="AG16" s="357"/>
      <c r="AH16" s="582"/>
      <c r="AI16" s="13"/>
      <c r="AJ16" s="13"/>
      <c r="AK16" s="13"/>
      <c r="AL16" s="18"/>
      <c r="AM16" s="19"/>
      <c r="AN16" s="19"/>
    </row>
    <row r="17" spans="1:42" s="1" customFormat="1" ht="21.75" customHeight="1" x14ac:dyDescent="0.2">
      <c r="A17" s="247">
        <v>847</v>
      </c>
      <c r="B17" s="182" t="s">
        <v>75</v>
      </c>
      <c r="C17" s="139">
        <v>0</v>
      </c>
      <c r="D17" s="242"/>
      <c r="E17" s="242"/>
      <c r="F17" s="242"/>
      <c r="G17" s="243">
        <v>1120</v>
      </c>
      <c r="H17" s="213">
        <f t="shared" si="0"/>
        <v>1120</v>
      </c>
      <c r="I17" s="213"/>
      <c r="J17" s="213"/>
      <c r="K17" s="120">
        <f>H17*'DATOS REFERENCIALES'!$C$4</f>
        <v>6137.6</v>
      </c>
      <c r="L17" s="120"/>
      <c r="M17" s="120"/>
      <c r="N17" s="122">
        <f>LOOKUP(C17,'TABLA ANTIG.'!$A$4:$A$39,'TABLA ANTIG.'!$B$4:$B$39)*(K17)</f>
        <v>0</v>
      </c>
      <c r="O17" s="133">
        <f t="shared" si="1"/>
        <v>613.7600000000001</v>
      </c>
      <c r="P17" s="120">
        <f>'DATOS REFERENCIALES'!$C$8</f>
        <v>3640</v>
      </c>
      <c r="Q17" s="122">
        <f>LOOKUP(C17,'TABLA ANTIG.'!$A$4:$A$39,'TABLA ANTIG.'!$B$4:$B$39)*(P17)</f>
        <v>0</v>
      </c>
      <c r="R17" s="31">
        <v>0</v>
      </c>
      <c r="S17" s="31">
        <f t="shared" si="2"/>
        <v>10391.36</v>
      </c>
      <c r="T17" s="31">
        <f t="shared" si="3"/>
        <v>1143.0496000000001</v>
      </c>
      <c r="U17" s="31">
        <f t="shared" si="4"/>
        <v>311.74079999999998</v>
      </c>
      <c r="V17" s="31">
        <f t="shared" si="4"/>
        <v>311.74079999999998</v>
      </c>
      <c r="W17" s="31">
        <f t="shared" si="5"/>
        <v>207.8272</v>
      </c>
      <c r="X17" s="31">
        <f t="shared" si="6"/>
        <v>467.6112</v>
      </c>
      <c r="Y17" s="31">
        <f t="shared" si="7"/>
        <v>2441.9695999999999</v>
      </c>
      <c r="Z17" s="94">
        <f t="shared" si="8"/>
        <v>7949.3904000000002</v>
      </c>
      <c r="AA17" s="168">
        <f>'DATOS REFERENCIALES'!$C$10</f>
        <v>1294</v>
      </c>
      <c r="AB17" s="94">
        <f>IF((IF(H17&gt;1119,('DATOS REFERENCIALES'!$C$9-(S17-T17-U17-V17-W17-X17+AA17)),(('DATOS REFERENCIALES'!$C$9/1120)*H17)-(K17+N17+O17+P17+Q17+R17-T17-U17-V17-W17-X17+AA17)))&lt;0,0,IF(H17&gt;1119,(('DATOS REFERENCIALES'!$C$9)-(S17-T17-U17-V17-W17-X17+AA17)),(('DATOS REFERENCIALES'!$C$9/1120)*H17)-(K17+N17+O17+P17+Q17+R17-T17-U17-V17-W17-X17+AA17)))</f>
        <v>5367.6095999999998</v>
      </c>
      <c r="AC17" s="150">
        <f t="shared" si="9"/>
        <v>14611</v>
      </c>
      <c r="AD17" s="106">
        <f>'DATOS REFERENCIALES'!$C$13</f>
        <v>1210</v>
      </c>
      <c r="AE17" s="305">
        <f>IF(H17&gt;1119,'DATOS REFERENCIALES'!$C$15,'DATOS REFERENCIALES'!$C$15/1120*H17)</f>
        <v>0</v>
      </c>
      <c r="AF17" s="150">
        <f>'DATOS REFERENCIALES'!$C$11</f>
        <v>320</v>
      </c>
      <c r="AG17" s="168">
        <f>'DATOS REFERENCIALES'!$C$12</f>
        <v>210</v>
      </c>
      <c r="AH17" s="94">
        <f>SUM(AC17:AG17)</f>
        <v>16351</v>
      </c>
      <c r="AI17" s="13"/>
      <c r="AJ17" s="13"/>
      <c r="AK17" s="13"/>
      <c r="AL17" s="18"/>
      <c r="AM17" s="19"/>
      <c r="AN17" s="19"/>
    </row>
    <row r="18" spans="1:42" s="1" customFormat="1" ht="20.25" customHeight="1" x14ac:dyDescent="0.2">
      <c r="A18" s="208">
        <v>848</v>
      </c>
      <c r="B18" s="206" t="s">
        <v>86</v>
      </c>
      <c r="C18" s="27">
        <v>0</v>
      </c>
      <c r="D18" s="37"/>
      <c r="E18" s="37"/>
      <c r="F18" s="37"/>
      <c r="G18" s="67">
        <v>1120</v>
      </c>
      <c r="H18" s="49">
        <f t="shared" si="0"/>
        <v>1120</v>
      </c>
      <c r="I18" s="49"/>
      <c r="J18" s="49"/>
      <c r="K18" s="104">
        <f>H18*'DATOS REFERENCIALES'!$C$4</f>
        <v>6137.6</v>
      </c>
      <c r="L18" s="104"/>
      <c r="M18" s="104"/>
      <c r="N18" s="94">
        <f>LOOKUP(C18,'TABLA ANTIG.'!$A$4:$A$39,'TABLA ANTIG.'!$B$4:$B$39)*(K18)</f>
        <v>0</v>
      </c>
      <c r="O18" s="31">
        <f t="shared" si="1"/>
        <v>613.7600000000001</v>
      </c>
      <c r="P18" s="104">
        <f>'DATOS REFERENCIALES'!$C$8</f>
        <v>3640</v>
      </c>
      <c r="Q18" s="94">
        <f>LOOKUP(C18,'TABLA ANTIG.'!$A$4:$A$39,'TABLA ANTIG.'!$B$4:$B$39)*(P18)</f>
        <v>0</v>
      </c>
      <c r="R18" s="31">
        <v>0</v>
      </c>
      <c r="S18" s="31">
        <f t="shared" si="2"/>
        <v>10391.36</v>
      </c>
      <c r="T18" s="31">
        <f t="shared" si="3"/>
        <v>1143.0496000000001</v>
      </c>
      <c r="U18" s="31">
        <f t="shared" si="4"/>
        <v>311.74079999999998</v>
      </c>
      <c r="V18" s="31">
        <f t="shared" si="4"/>
        <v>311.74079999999998</v>
      </c>
      <c r="W18" s="31">
        <f t="shared" si="5"/>
        <v>207.8272</v>
      </c>
      <c r="X18" s="31">
        <f t="shared" si="6"/>
        <v>467.6112</v>
      </c>
      <c r="Y18" s="31">
        <f t="shared" si="7"/>
        <v>2441.9695999999999</v>
      </c>
      <c r="Z18" s="94">
        <f t="shared" si="8"/>
        <v>7949.3904000000002</v>
      </c>
      <c r="AA18" s="168">
        <f>'DATOS REFERENCIALES'!$C$10</f>
        <v>1294</v>
      </c>
      <c r="AB18" s="94">
        <f>IF((IF(H18&gt;1119,('DATOS REFERENCIALES'!$C$9-(S18-T18-U18-V18-W18-X18+AA18)),(('DATOS REFERENCIALES'!$C$9/1120)*H18)-(K18+N18+O18+P18+Q18+R18-T18-U18-V18-W18-X18+AA18)))&lt;0,0,IF(H18&gt;1119,(('DATOS REFERENCIALES'!$C$9)-(S18-T18-U18-V18-W18-X18+AA18)),(('DATOS REFERENCIALES'!$C$9/1120)*H18)-(K18+N18+O18+P18+Q18+R18-T18-U18-V18-W18-X18+AA18)))</f>
        <v>5367.6095999999998</v>
      </c>
      <c r="AC18" s="150">
        <f t="shared" si="9"/>
        <v>14611</v>
      </c>
      <c r="AD18" s="106">
        <f>'DATOS REFERENCIALES'!$C$13</f>
        <v>1210</v>
      </c>
      <c r="AE18" s="308">
        <f>IF(H18&gt;1119,'DATOS REFERENCIALES'!$C$15,'DATOS REFERENCIALES'!$C$15/1120*H18)</f>
        <v>0</v>
      </c>
      <c r="AF18" s="150">
        <f>'DATOS REFERENCIALES'!$C$11</f>
        <v>320</v>
      </c>
      <c r="AG18" s="168">
        <f>'DATOS REFERENCIALES'!$C$12</f>
        <v>210</v>
      </c>
      <c r="AH18" s="94">
        <f>SUM(AC18:AG18)</f>
        <v>16351</v>
      </c>
      <c r="AI18" s="13"/>
      <c r="AJ18" s="13"/>
      <c r="AK18" s="13"/>
      <c r="AL18" s="18"/>
      <c r="AM18" s="19"/>
      <c r="AN18" s="19"/>
    </row>
    <row r="19" spans="1:42" s="1" customFormat="1" ht="21" customHeight="1" x14ac:dyDescent="0.2">
      <c r="A19" s="89">
        <v>875</v>
      </c>
      <c r="B19" s="207" t="s">
        <v>100</v>
      </c>
      <c r="C19" s="27">
        <v>0</v>
      </c>
      <c r="D19" s="37"/>
      <c r="E19" s="37"/>
      <c r="F19" s="37"/>
      <c r="G19" s="67">
        <v>1120</v>
      </c>
      <c r="H19" s="49">
        <f t="shared" si="0"/>
        <v>1120</v>
      </c>
      <c r="I19" s="49"/>
      <c r="J19" s="49"/>
      <c r="K19" s="104">
        <f>H19*'DATOS REFERENCIALES'!$C$4</f>
        <v>6137.6</v>
      </c>
      <c r="L19" s="104"/>
      <c r="M19" s="104"/>
      <c r="N19" s="94">
        <f>LOOKUP(C19,'TABLA ANTIG.'!$A$4:$A$39,'TABLA ANTIG.'!$B$4:$B$39)*(K19)</f>
        <v>0</v>
      </c>
      <c r="O19" s="31">
        <f t="shared" si="1"/>
        <v>613.7600000000001</v>
      </c>
      <c r="P19" s="104">
        <f>'DATOS REFERENCIALES'!$C$8</f>
        <v>3640</v>
      </c>
      <c r="Q19" s="94">
        <f>LOOKUP(C19,'TABLA ANTIG.'!$A$4:$A$39,'TABLA ANTIG.'!$B$4:$B$39)*(P19)</f>
        <v>0</v>
      </c>
      <c r="R19" s="31">
        <v>0</v>
      </c>
      <c r="S19" s="31">
        <f t="shared" si="2"/>
        <v>10391.36</v>
      </c>
      <c r="T19" s="31">
        <f t="shared" si="3"/>
        <v>1143.0496000000001</v>
      </c>
      <c r="U19" s="31">
        <f t="shared" si="4"/>
        <v>311.74079999999998</v>
      </c>
      <c r="V19" s="31">
        <f t="shared" si="4"/>
        <v>311.74079999999998</v>
      </c>
      <c r="W19" s="31">
        <f t="shared" si="5"/>
        <v>207.8272</v>
      </c>
      <c r="X19" s="31">
        <f t="shared" si="6"/>
        <v>467.6112</v>
      </c>
      <c r="Y19" s="31">
        <f t="shared" si="7"/>
        <v>2441.9695999999999</v>
      </c>
      <c r="Z19" s="94">
        <f t="shared" si="8"/>
        <v>7949.3904000000002</v>
      </c>
      <c r="AA19" s="168">
        <f>'DATOS REFERENCIALES'!$C$10</f>
        <v>1294</v>
      </c>
      <c r="AB19" s="94">
        <f>IF((IF(H19&gt;1119,('DATOS REFERENCIALES'!$C$9-(S19-T19-U19-V19-W19-X19+AA19)),(('DATOS REFERENCIALES'!$C$9/1120)*H19)-(K19+N19+O19+P19+Q19+R19-T19-U19-V19-W19-X19+AA19)))&lt;0,0,IF(H19&gt;1119,(('DATOS REFERENCIALES'!$C$9)-(S19-T19-U19-V19-W19-X19+AA19)),(('DATOS REFERENCIALES'!$C$9/1120)*H19)-(K19+N19+O19+P19+Q19+R19-T19-U19-V19-W19-X19+AA19)))</f>
        <v>5367.6095999999998</v>
      </c>
      <c r="AC19" s="150">
        <f t="shared" si="9"/>
        <v>14611</v>
      </c>
      <c r="AD19" s="106">
        <f>'DATOS REFERENCIALES'!$C$13</f>
        <v>1210</v>
      </c>
      <c r="AE19" s="308">
        <f>IF(H19&gt;1119,'DATOS REFERENCIALES'!$C$15,'DATOS REFERENCIALES'!$C$15/1120*H19)</f>
        <v>0</v>
      </c>
      <c r="AF19" s="150">
        <f>'DATOS REFERENCIALES'!$C$11</f>
        <v>320</v>
      </c>
      <c r="AG19" s="168">
        <f>'DATOS REFERENCIALES'!$C$12</f>
        <v>210</v>
      </c>
      <c r="AH19" s="94">
        <f>SUM(AC19:AG19)</f>
        <v>16351</v>
      </c>
      <c r="AI19" s="13"/>
      <c r="AJ19" s="13"/>
      <c r="AK19" s="13"/>
      <c r="AL19" s="18"/>
      <c r="AM19" s="19"/>
      <c r="AN19" s="19"/>
    </row>
    <row r="20" spans="1:42" s="1" customFormat="1" ht="21.75" customHeight="1" x14ac:dyDescent="0.2">
      <c r="A20" s="89">
        <v>845</v>
      </c>
      <c r="B20" s="100" t="s">
        <v>7</v>
      </c>
      <c r="C20" s="36">
        <v>0</v>
      </c>
      <c r="D20" s="36"/>
      <c r="E20" s="36"/>
      <c r="F20" s="36"/>
      <c r="G20" s="67">
        <v>1120</v>
      </c>
      <c r="H20" s="49">
        <f t="shared" si="0"/>
        <v>1120</v>
      </c>
      <c r="I20" s="49"/>
      <c r="J20" s="49"/>
      <c r="K20" s="104">
        <f>H20*'DATOS REFERENCIALES'!$C$4</f>
        <v>6137.6</v>
      </c>
      <c r="L20" s="104"/>
      <c r="M20" s="104"/>
      <c r="N20" s="94">
        <f>LOOKUP(C20,'TABLA ANTIG.'!$A$4:$A$39,'TABLA ANTIG.'!$B$4:$B$39)*(K20)</f>
        <v>0</v>
      </c>
      <c r="O20" s="31">
        <f t="shared" si="1"/>
        <v>613.7600000000001</v>
      </c>
      <c r="P20" s="104">
        <f>'DATOS REFERENCIALES'!$C$8</f>
        <v>3640</v>
      </c>
      <c r="Q20" s="94">
        <f>LOOKUP(C20,'TABLA ANTIG.'!$A$4:$A$39,'TABLA ANTIG.'!$B$4:$B$39)*(P20)</f>
        <v>0</v>
      </c>
      <c r="R20" s="31">
        <v>0</v>
      </c>
      <c r="S20" s="31">
        <f t="shared" si="2"/>
        <v>10391.36</v>
      </c>
      <c r="T20" s="94">
        <f t="shared" si="3"/>
        <v>1143.0496000000001</v>
      </c>
      <c r="U20" s="94">
        <f t="shared" si="4"/>
        <v>311.74079999999998</v>
      </c>
      <c r="V20" s="94">
        <f t="shared" si="4"/>
        <v>311.74079999999998</v>
      </c>
      <c r="W20" s="94">
        <f t="shared" si="5"/>
        <v>207.8272</v>
      </c>
      <c r="X20" s="94">
        <f t="shared" si="6"/>
        <v>467.6112</v>
      </c>
      <c r="Y20" s="31">
        <f t="shared" si="7"/>
        <v>2441.9695999999999</v>
      </c>
      <c r="Z20" s="94">
        <f t="shared" si="8"/>
        <v>7949.3904000000002</v>
      </c>
      <c r="AA20" s="168">
        <f>'DATOS REFERENCIALES'!$C$10</f>
        <v>1294</v>
      </c>
      <c r="AB20" s="94">
        <f>IF((IF(H20&gt;1119,('DATOS REFERENCIALES'!$C$9-(S20-T20-U20-V20-W20-X20+AA20)),(('DATOS REFERENCIALES'!$C$9/1120)*H20)-(K20+N20+O20+P20+Q20+R20-T20-U20-V20-W20-X20+AA20)))&lt;0,0,IF(H20&gt;1119,(('DATOS REFERENCIALES'!$C$9)-(S20-T20-U20-V20-W20-X20+AA20)),(('DATOS REFERENCIALES'!$C$9/1120)*H20)-(K20+N20+O20+P20+Q20+R20-T20-U20-V20-W20-X20+AA20)))</f>
        <v>5367.6095999999998</v>
      </c>
      <c r="AC20" s="150">
        <f t="shared" si="9"/>
        <v>14611</v>
      </c>
      <c r="AD20" s="106">
        <f>'DATOS REFERENCIALES'!$C$13</f>
        <v>1210</v>
      </c>
      <c r="AE20" s="308">
        <f>IF(H20&gt;1119,'DATOS REFERENCIALES'!$C$15,'DATOS REFERENCIALES'!$C$15/1120*H20)</f>
        <v>0</v>
      </c>
      <c r="AF20" s="150">
        <f>'DATOS REFERENCIALES'!$C$11</f>
        <v>320</v>
      </c>
      <c r="AG20" s="168">
        <f>'DATOS REFERENCIALES'!$C$12</f>
        <v>210</v>
      </c>
      <c r="AH20" s="94">
        <f>SUM(AC20:AG20)</f>
        <v>16351</v>
      </c>
      <c r="AI20" s="13"/>
      <c r="AJ20" s="13"/>
      <c r="AK20" s="13"/>
      <c r="AL20" s="18"/>
      <c r="AM20" s="19"/>
      <c r="AN20" s="19"/>
    </row>
    <row r="21" spans="1:42" s="1" customFormat="1" ht="20.25" customHeight="1" thickBot="1" x14ac:dyDescent="0.25">
      <c r="A21" s="90">
        <v>5566</v>
      </c>
      <c r="B21" s="101" t="s">
        <v>8</v>
      </c>
      <c r="C21" s="28">
        <v>0</v>
      </c>
      <c r="D21" s="28">
        <v>0</v>
      </c>
      <c r="E21" s="28"/>
      <c r="F21" s="28"/>
      <c r="G21" s="65">
        <v>56</v>
      </c>
      <c r="H21" s="69">
        <f t="shared" si="0"/>
        <v>56</v>
      </c>
      <c r="I21" s="69"/>
      <c r="J21" s="69"/>
      <c r="K21" s="105">
        <f>(H21*'DATOS REFERENCIALES'!$C$4)*D21</f>
        <v>0</v>
      </c>
      <c r="L21" s="105"/>
      <c r="M21" s="105"/>
      <c r="N21" s="95">
        <f>LOOKUP(C21,'TABLA ANTIG.'!$A$4:$A$39,'TABLA ANTIG.'!$B$4:$B$39)*(K21)</f>
        <v>0</v>
      </c>
      <c r="O21" s="35">
        <f t="shared" si="1"/>
        <v>0</v>
      </c>
      <c r="P21" s="105">
        <f>IF(D21&gt;48,'DATOS REFERENCIALES'!D8+('DATOS REFERENCIALES'!F8*10),IF(D21&lt;39,'DATOS REFERENCIALES'!$E$8*D21,((D21-'DATOS REFERENCIALES'!$I$8)*'DATOS REFERENCIALES'!$F$8)+'DATOS REFERENCIALES'!D8))</f>
        <v>0</v>
      </c>
      <c r="Q21" s="95">
        <f>LOOKUP(C21,'TABLA ANTIG.'!$A$4:$A$39,'TABLA ANTIG.'!$B$4:$B$39)*(P21)</f>
        <v>0</v>
      </c>
      <c r="R21" s="35">
        <v>0</v>
      </c>
      <c r="S21" s="35">
        <f t="shared" si="2"/>
        <v>0</v>
      </c>
      <c r="T21" s="35">
        <f t="shared" si="3"/>
        <v>0</v>
      </c>
      <c r="U21" s="35">
        <f t="shared" si="4"/>
        <v>0</v>
      </c>
      <c r="V21" s="35">
        <f t="shared" si="4"/>
        <v>0</v>
      </c>
      <c r="W21" s="35">
        <f t="shared" si="5"/>
        <v>0</v>
      </c>
      <c r="X21" s="35">
        <f t="shared" si="6"/>
        <v>0</v>
      </c>
      <c r="Y21" s="35">
        <f t="shared" si="7"/>
        <v>0</v>
      </c>
      <c r="Z21" s="95">
        <f t="shared" si="8"/>
        <v>0</v>
      </c>
      <c r="AA21" s="171">
        <f>IF(D21&gt;38,'DATOS REFERENCIALES'!$D$10,'DATOS REFERENCIALES'!$E$10*D21)</f>
        <v>0</v>
      </c>
      <c r="AB21" s="95">
        <f>IF(D21&gt;40,('DATOS REFERENCIALES'!D9-((K21+N21+O21+P21+Q21+R21)-(T21+U21+V21+W21+X21))+AA21),IF((IF(H21&gt;1119,('DATOS REFERENCIALES'!$C$9-(S21-T21-U21-V21-W21-X21+AA21)),('DATOS REFERENCIALES'!$C$9/20*D21)-(((K21+N21+O21+P21+Q21+R21)-(T21+U21+V21+W21+X21)+AA21))))&lt;0,0,IF(H21&gt;1119,(('DATOS REFERENCIALES'!$C$9/20*D21)-(S21-T21-U21-V21-W21-X21+AA21)),('DATOS REFERENCIALES'!$C$9/20*D21)-(K21+N21+O21+P21+Q21+R21-T21-U21-V21-W21-X21+AA21))))</f>
        <v>0</v>
      </c>
      <c r="AC21" s="151">
        <f t="shared" si="9"/>
        <v>0</v>
      </c>
      <c r="AD21" s="107">
        <f>IF(D21&gt;30,'DATOS REFERENCIALES'!$D$13,('DATOS REFERENCIALES'!$E$13*D21))</f>
        <v>0</v>
      </c>
      <c r="AE21" s="306">
        <f>IF(D21&gt;'DATOS REFERENCIALES'!$I$15,'DATOS REFERENCIALES'!$D$15,'DATOS REFERENCIALES'!$E$15*D21)</f>
        <v>0</v>
      </c>
      <c r="AF21" s="179">
        <f>IF(D21&gt;'DATOS REFERENCIALES'!$I$11,'DATOS REFERENCIALES'!$D$11,'DATOS REFERENCIALES'!$E$11*D21)</f>
        <v>0</v>
      </c>
      <c r="AG21" s="171">
        <f>IF(D21&gt;'DATOS REFERENCIALES'!$I$12,'DATOS REFERENCIALES'!$D$12,'DATOS REFERENCIALES'!$E$12*D21)</f>
        <v>0</v>
      </c>
      <c r="AH21" s="95">
        <f>SUM(AC21:AG21)</f>
        <v>0</v>
      </c>
      <c r="AI21" s="13"/>
      <c r="AJ21" s="13"/>
      <c r="AK21" s="13"/>
      <c r="AL21" s="18"/>
      <c r="AM21" s="19"/>
      <c r="AN21" s="19"/>
    </row>
    <row r="22" spans="1:42" s="1" customFormat="1" ht="13.5" thickBot="1" x14ac:dyDescent="0.25">
      <c r="A22" s="10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13"/>
      <c r="O22" s="13"/>
      <c r="P22" s="14"/>
      <c r="Q22" s="14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8"/>
      <c r="AM22" s="19"/>
      <c r="AN22" s="19"/>
    </row>
    <row r="23" spans="1:42" s="1" customFormat="1" ht="19.5" customHeight="1" thickBot="1" x14ac:dyDescent="0.35">
      <c r="A23" s="109" t="s">
        <v>136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09" t="s">
        <v>136</v>
      </c>
      <c r="AD23" s="153"/>
      <c r="AE23" s="153"/>
      <c r="AF23" s="153"/>
      <c r="AG23" s="153"/>
      <c r="AH23" s="154"/>
      <c r="AI23" s="13"/>
      <c r="AJ23" s="13"/>
      <c r="AK23" s="13"/>
      <c r="AL23" s="18"/>
      <c r="AM23" s="19"/>
      <c r="AN23" s="19"/>
    </row>
    <row r="24" spans="1:42" s="2" customFormat="1" ht="25.5" customHeight="1" thickBot="1" x14ac:dyDescent="0.25">
      <c r="A24" s="623" t="s">
        <v>1</v>
      </c>
      <c r="B24" s="623" t="s">
        <v>0</v>
      </c>
      <c r="C24" s="585" t="s">
        <v>83</v>
      </c>
      <c r="D24" s="585" t="s">
        <v>126</v>
      </c>
      <c r="E24" s="585" t="s">
        <v>119</v>
      </c>
      <c r="F24" s="585" t="s">
        <v>120</v>
      </c>
      <c r="G24" s="585" t="s">
        <v>109</v>
      </c>
      <c r="H24" s="585" t="s">
        <v>85</v>
      </c>
      <c r="I24" s="585" t="s">
        <v>156</v>
      </c>
      <c r="J24" s="602" t="s">
        <v>155</v>
      </c>
      <c r="K24" s="602" t="s">
        <v>128</v>
      </c>
      <c r="L24" s="602" t="s">
        <v>154</v>
      </c>
      <c r="M24" s="602" t="s">
        <v>155</v>
      </c>
      <c r="N24" s="596" t="s">
        <v>91</v>
      </c>
      <c r="O24" s="627" t="s">
        <v>127</v>
      </c>
      <c r="P24" s="611" t="s">
        <v>92</v>
      </c>
      <c r="Q24" s="596" t="s">
        <v>108</v>
      </c>
      <c r="R24" s="596" t="s">
        <v>90</v>
      </c>
      <c r="S24" s="596" t="s">
        <v>74</v>
      </c>
      <c r="T24" s="604" t="s">
        <v>63</v>
      </c>
      <c r="U24" s="605"/>
      <c r="V24" s="605"/>
      <c r="W24" s="605"/>
      <c r="X24" s="606"/>
      <c r="Y24" s="585" t="s">
        <v>73</v>
      </c>
      <c r="Z24" s="585" t="s">
        <v>95</v>
      </c>
      <c r="AA24" s="585" t="s">
        <v>94</v>
      </c>
      <c r="AB24" s="585" t="s">
        <v>93</v>
      </c>
      <c r="AC24" s="585" t="s">
        <v>97</v>
      </c>
      <c r="AD24" s="585" t="s">
        <v>96</v>
      </c>
      <c r="AE24" s="585" t="s">
        <v>182</v>
      </c>
      <c r="AF24" s="585" t="s">
        <v>107</v>
      </c>
      <c r="AG24" s="618" t="s">
        <v>153</v>
      </c>
      <c r="AH24" s="585" t="s">
        <v>98</v>
      </c>
      <c r="AI24" s="17"/>
      <c r="AJ24" s="17"/>
      <c r="AK24" s="17"/>
      <c r="AL24" s="18"/>
      <c r="AM24" s="19"/>
      <c r="AN24" s="19"/>
    </row>
    <row r="25" spans="1:42" s="2" customFormat="1" ht="93.75" customHeight="1" thickBot="1" x14ac:dyDescent="0.25">
      <c r="A25" s="624"/>
      <c r="B25" s="624"/>
      <c r="C25" s="586"/>
      <c r="D25" s="586"/>
      <c r="E25" s="586"/>
      <c r="F25" s="586"/>
      <c r="G25" s="586"/>
      <c r="H25" s="586"/>
      <c r="I25" s="586"/>
      <c r="J25" s="603"/>
      <c r="K25" s="603"/>
      <c r="L25" s="603"/>
      <c r="M25" s="603"/>
      <c r="N25" s="597"/>
      <c r="O25" s="628"/>
      <c r="P25" s="612"/>
      <c r="Q25" s="597"/>
      <c r="R25" s="629"/>
      <c r="S25" s="629"/>
      <c r="T25" s="112" t="s">
        <v>148</v>
      </c>
      <c r="U25" s="112" t="s">
        <v>65</v>
      </c>
      <c r="V25" s="112" t="s">
        <v>66</v>
      </c>
      <c r="W25" s="112" t="s">
        <v>67</v>
      </c>
      <c r="X25" s="112" t="s">
        <v>68</v>
      </c>
      <c r="Y25" s="586"/>
      <c r="Z25" s="626"/>
      <c r="AA25" s="626"/>
      <c r="AB25" s="626"/>
      <c r="AC25" s="626"/>
      <c r="AD25" s="626"/>
      <c r="AE25" s="586"/>
      <c r="AF25" s="626"/>
      <c r="AG25" s="586"/>
      <c r="AH25" s="626"/>
      <c r="AI25" s="17"/>
      <c r="AJ25" s="17"/>
      <c r="AK25" s="17"/>
      <c r="AL25" s="18"/>
      <c r="AM25" s="19"/>
      <c r="AN25" s="19"/>
    </row>
    <row r="26" spans="1:42" s="1" customFormat="1" ht="22.5" customHeight="1" x14ac:dyDescent="0.2">
      <c r="A26" s="402">
        <v>834</v>
      </c>
      <c r="B26" s="445" t="s">
        <v>5</v>
      </c>
      <c r="C26" s="374">
        <v>0</v>
      </c>
      <c r="D26" s="374"/>
      <c r="E26" s="374"/>
      <c r="F26" s="374"/>
      <c r="G26" s="446">
        <v>3125</v>
      </c>
      <c r="H26" s="374">
        <f t="shared" ref="H26:H34" si="10">SUM(G26:G26)</f>
        <v>3125</v>
      </c>
      <c r="I26" s="374"/>
      <c r="J26" s="374"/>
      <c r="K26" s="379">
        <f>H26*'DATOS REFERENCIALES'!$C$4</f>
        <v>17125</v>
      </c>
      <c r="L26" s="379"/>
      <c r="M26" s="379"/>
      <c r="N26" s="381">
        <f>LOOKUP(C26,'TABLA ANTIG.'!$A$4:$A$39,'TABLA ANTIG.'!$B$4:$B$39)*(K26)</f>
        <v>0</v>
      </c>
      <c r="O26" s="381">
        <f t="shared" ref="O26:O34" si="11">K26*0.1</f>
        <v>1712.5</v>
      </c>
      <c r="P26" s="379">
        <f>'DATOS REFERENCIALES'!$D$8</f>
        <v>7280</v>
      </c>
      <c r="Q26" s="381">
        <f>LOOKUP(C26,'TABLA ANTIG.'!$A$4:$A$39,'TABLA ANTIG.'!$B$4:$B$39)*(P26)</f>
        <v>0</v>
      </c>
      <c r="R26" s="460">
        <v>0</v>
      </c>
      <c r="S26" s="461">
        <f t="shared" ref="S26:S34" si="12">K26+N26+O26+P26+Q26+R26</f>
        <v>26117.5</v>
      </c>
      <c r="T26" s="381">
        <f t="shared" ref="T26:T34" si="13">$S26*11%</f>
        <v>2872.9250000000002</v>
      </c>
      <c r="U26" s="381">
        <f t="shared" ref="U26:V34" si="14">$S26*3%</f>
        <v>783.52499999999998</v>
      </c>
      <c r="V26" s="381">
        <f t="shared" si="14"/>
        <v>783.52499999999998</v>
      </c>
      <c r="W26" s="381">
        <f t="shared" ref="W26:W34" si="15">$S26*2%</f>
        <v>522.35</v>
      </c>
      <c r="X26" s="381">
        <f t="shared" ref="X26:X34" si="16">$S26*4.5%</f>
        <v>1175.2874999999999</v>
      </c>
      <c r="Y26" s="461">
        <f t="shared" ref="Y26:Y34" si="17">SUM(T26:X26)</f>
        <v>6137.6125000000011</v>
      </c>
      <c r="Z26" s="461">
        <f t="shared" ref="Z26:Z34" si="18">S26-Y26</f>
        <v>19979.887499999997</v>
      </c>
      <c r="AA26" s="462">
        <f>'DATOS REFERENCIALES'!$D$10</f>
        <v>2588</v>
      </c>
      <c r="AB26" s="461">
        <f>IF((IF(H26&gt;2043,('DATOS REFERENCIALES'!$D$9-(S26-T26-U26-V26-W26-X26+AA26)),(('DATOS REFERENCIALES'!$D$9/2043)*H26)-(K26+N26+O26+P26+Q26+R26-T26-U26-V26-W26-X26+AA26)))&lt;0,0,IF(H26&gt;2043,(('DATOS REFERENCIALES'!$D$9)-(S26-T26-U26-V26-W26-X26+AA26)),(('DATOS REFERENCIALES'!$D$9/2043)*H26)-(K26+N26+O26+P26+Q26+R26-T26-U26-V26-W26-X26+AA26)))</f>
        <v>6654.1124999999993</v>
      </c>
      <c r="AC26" s="461">
        <f t="shared" ref="AC26:AC34" si="19">SUM(Z26:AB26)</f>
        <v>29221.999999999996</v>
      </c>
      <c r="AD26" s="386">
        <f>'DATOS REFERENCIALES'!$D$13</f>
        <v>2420</v>
      </c>
      <c r="AE26" s="408">
        <f>IF(H26&gt;2043,'DATOS REFERENCIALES'!$D$15,'DATOS REFERENCIALES'!$D$15/2043*H26)</f>
        <v>0</v>
      </c>
      <c r="AF26" s="460">
        <f>'DATOS REFERENCIALES'!$D$11</f>
        <v>640</v>
      </c>
      <c r="AG26" s="463">
        <f>'DATOS REFERENCIALES'!$D$12</f>
        <v>420</v>
      </c>
      <c r="AH26" s="583">
        <f>SUM(AC26:AG26)+SUM(AC27:AG27)</f>
        <v>34647.465869599997</v>
      </c>
      <c r="AI26" s="13"/>
      <c r="AJ26" s="13"/>
      <c r="AK26" s="13"/>
      <c r="AL26" s="18"/>
      <c r="AM26" s="19"/>
      <c r="AN26" s="19"/>
    </row>
    <row r="27" spans="1:42" s="1" customFormat="1" ht="28.5" customHeight="1" thickBot="1" x14ac:dyDescent="0.25">
      <c r="A27" s="409">
        <v>834</v>
      </c>
      <c r="B27" s="447" t="s">
        <v>5</v>
      </c>
      <c r="C27" s="389">
        <f>IF(C26&gt;0,C26,0)</f>
        <v>0</v>
      </c>
      <c r="D27" s="389"/>
      <c r="E27" s="389"/>
      <c r="F27" s="389"/>
      <c r="G27" s="448"/>
      <c r="H27" s="389"/>
      <c r="I27" s="389">
        <v>234.38</v>
      </c>
      <c r="J27" s="393" t="s">
        <v>158</v>
      </c>
      <c r="K27" s="394"/>
      <c r="L27" s="394">
        <f>I27*'DATOS REFERENCIALES'!$C$4</f>
        <v>1284.4024000000002</v>
      </c>
      <c r="M27" s="394">
        <f>IF(J27='DATOS REFERENCIALES'!$C$28,K26*'DATOS REFERENCIALES'!$D$28,IF(J27='DATOS REFERENCIALES'!$C$29,('DATOS REFERENCIALES'!$D$29*K26),IF(J27='DATOS REFERENCIALES'!$C$30,('DATOS REFERENCIALES'!$D$30*K26),IF(J27='DATOS REFERENCIALES'!$C$31,('DATOS REFERENCIALES'!$D$31*K26),IF(J27='DATOS REFERENCIALES'!$C$32,('DATOS REFERENCIALES'!$D$32*K26),IF(J27='DATOS REFERENCIALES'!$C$33,('DATOS REFERENCIALES'!$D$33*K26),IF(J27='DATOS REFERENCIALES'!$C$34,('DATOS REFERENCIALES'!$D$34*K26),IF(J27='DATOS REFERENCIALES'!$C$35,('DATOS REFERENCIALES'!$D$35*K26),0))))))))</f>
        <v>1027.5</v>
      </c>
      <c r="N27" s="396">
        <f>LOOKUP(C27,'TABLA ANTIG.'!$A$4:$A$39,'TABLA ANTIG.'!$B$4:$B$39)*(L27+M27)</f>
        <v>0</v>
      </c>
      <c r="O27" s="396">
        <f>(L27+M27)*0.1</f>
        <v>231.19024000000002</v>
      </c>
      <c r="P27" s="394"/>
      <c r="Q27" s="396"/>
      <c r="R27" s="395"/>
      <c r="S27" s="396">
        <f>L27+M27+N27+O27+P27+Q27+R27</f>
        <v>2543.0926399999998</v>
      </c>
      <c r="T27" s="399">
        <f t="shared" si="13"/>
        <v>279.74019039999996</v>
      </c>
      <c r="U27" s="396">
        <f t="shared" si="14"/>
        <v>76.292779199999998</v>
      </c>
      <c r="V27" s="399">
        <f t="shared" si="14"/>
        <v>76.292779199999998</v>
      </c>
      <c r="W27" s="396">
        <f>$S27*2%</f>
        <v>50.861852800000001</v>
      </c>
      <c r="X27" s="396">
        <f t="shared" si="16"/>
        <v>114.43916879999999</v>
      </c>
      <c r="Y27" s="396">
        <f t="shared" si="17"/>
        <v>597.62677039999994</v>
      </c>
      <c r="Z27" s="400">
        <f t="shared" si="18"/>
        <v>1945.4658695999999</v>
      </c>
      <c r="AA27" s="396"/>
      <c r="AB27" s="396"/>
      <c r="AC27" s="395">
        <f t="shared" si="19"/>
        <v>1945.4658695999999</v>
      </c>
      <c r="AD27" s="401"/>
      <c r="AE27" s="414"/>
      <c r="AF27" s="395"/>
      <c r="AG27" s="396"/>
      <c r="AH27" s="584"/>
      <c r="AI27" s="13"/>
      <c r="AJ27" s="13"/>
      <c r="AK27" s="13"/>
      <c r="AL27" s="18"/>
      <c r="AM27" s="19"/>
      <c r="AN27" s="19"/>
    </row>
    <row r="28" spans="1:42" s="1" customFormat="1" ht="27.75" customHeight="1" x14ac:dyDescent="0.2">
      <c r="A28" s="433">
        <v>870</v>
      </c>
      <c r="B28" s="311" t="s">
        <v>3</v>
      </c>
      <c r="C28" s="312">
        <v>0</v>
      </c>
      <c r="D28" s="312"/>
      <c r="E28" s="312"/>
      <c r="F28" s="312"/>
      <c r="G28" s="313">
        <v>2667</v>
      </c>
      <c r="H28" s="312">
        <f t="shared" si="10"/>
        <v>2667</v>
      </c>
      <c r="I28" s="312"/>
      <c r="J28" s="312"/>
      <c r="K28" s="314">
        <f>H28*'DATOS REFERENCIALES'!$C$4</f>
        <v>14615.160000000002</v>
      </c>
      <c r="L28" s="314"/>
      <c r="M28" s="314"/>
      <c r="N28" s="316">
        <f>LOOKUP(C28,'TABLA ANTIG.'!$A$4:$A$39,'TABLA ANTIG.'!$B$4:$B$39)*(K28)</f>
        <v>0</v>
      </c>
      <c r="O28" s="316">
        <f t="shared" si="11"/>
        <v>1461.5160000000003</v>
      </c>
      <c r="P28" s="314">
        <f>'DATOS REFERENCIALES'!$D$8</f>
        <v>7280</v>
      </c>
      <c r="Q28" s="316">
        <f>LOOKUP(C28,'TABLA ANTIG.'!$A$4:$A$39,'TABLA ANTIG.'!$B$4:$B$39)*(P28)</f>
        <v>0</v>
      </c>
      <c r="R28" s="318">
        <v>0</v>
      </c>
      <c r="S28" s="316">
        <f t="shared" si="12"/>
        <v>23356.675999999999</v>
      </c>
      <c r="T28" s="316">
        <f t="shared" si="13"/>
        <v>2569.2343599999999</v>
      </c>
      <c r="U28" s="454">
        <f t="shared" si="14"/>
        <v>700.70027999999991</v>
      </c>
      <c r="V28" s="454">
        <f t="shared" si="14"/>
        <v>700.70027999999991</v>
      </c>
      <c r="W28" s="454">
        <f t="shared" si="15"/>
        <v>467.13351999999998</v>
      </c>
      <c r="X28" s="454">
        <f t="shared" si="16"/>
        <v>1051.05042</v>
      </c>
      <c r="Y28" s="454">
        <f t="shared" si="17"/>
        <v>5488.8188599999994</v>
      </c>
      <c r="Z28" s="454">
        <f t="shared" si="18"/>
        <v>17867.85714</v>
      </c>
      <c r="AA28" s="464">
        <f>'DATOS REFERENCIALES'!$D$10</f>
        <v>2588</v>
      </c>
      <c r="AB28" s="454">
        <f>IF((IF(H28&gt;2043,('DATOS REFERENCIALES'!$D$9-(S28-T28-U28-V28-W28-X28+AA28)),(('DATOS REFERENCIALES'!$D$9/2043)*H28)-(K28+N28+O28+P28+Q28+R28-T28-U28-V28-W28-X28+AA28)))&lt;0,0,IF(H28&gt;2043,(('DATOS REFERENCIALES'!$D$9)-(S28-T28-U28-V28-W28-X28+AA28)),(('DATOS REFERENCIALES'!$D$9/2043)*H28)-(K28+N28+O28+P28+Q28+R28-T28-U28-V28-W28-X28+AA28)))</f>
        <v>8766.1428599999999</v>
      </c>
      <c r="AC28" s="454">
        <f t="shared" si="19"/>
        <v>29222</v>
      </c>
      <c r="AD28" s="573">
        <f>'DATOS REFERENCIALES'!$D$13</f>
        <v>2420</v>
      </c>
      <c r="AE28" s="438">
        <f>IF(H28&gt;2043,'DATOS REFERENCIALES'!$D$15,'DATOS REFERENCIALES'!$D$15/2043*H28)</f>
        <v>0</v>
      </c>
      <c r="AF28" s="453">
        <f>'DATOS REFERENCIALES'!$D$11</f>
        <v>640</v>
      </c>
      <c r="AG28" s="455">
        <f>'DATOS REFERENCIALES'!$D$12</f>
        <v>420</v>
      </c>
      <c r="AH28" s="579">
        <f>SUM(AC28:AG28)+SUM(AC29:AG29)</f>
        <v>33624.422342600003</v>
      </c>
      <c r="AI28" s="13"/>
      <c r="AJ28" s="13"/>
      <c r="AK28" s="13"/>
      <c r="AL28" s="18"/>
      <c r="AM28" s="19"/>
      <c r="AN28" s="19"/>
    </row>
    <row r="29" spans="1:42" s="1" customFormat="1" ht="27.75" customHeight="1" thickBot="1" x14ac:dyDescent="0.25">
      <c r="A29" s="439">
        <v>870</v>
      </c>
      <c r="B29" s="456" t="s">
        <v>3</v>
      </c>
      <c r="C29" s="324">
        <f>IF(C28&gt;0,C28,0)</f>
        <v>0</v>
      </c>
      <c r="D29" s="365"/>
      <c r="E29" s="365"/>
      <c r="F29" s="365"/>
      <c r="G29" s="457"/>
      <c r="H29" s="365"/>
      <c r="I29" s="365">
        <v>200.03</v>
      </c>
      <c r="J29" s="458"/>
      <c r="K29" s="369"/>
      <c r="L29" s="369">
        <f>I29*'DATOS REFERENCIALES'!$C$4</f>
        <v>1096.1644000000001</v>
      </c>
      <c r="M29" s="369"/>
      <c r="N29" s="336">
        <f>LOOKUP(C29,'TABLA ANTIG.'!$A$4:$A$39,'TABLA ANTIG.'!$B$4:$B$39)*(L29+M29)</f>
        <v>0</v>
      </c>
      <c r="O29" s="336">
        <f>(L29+M29)*0.1</f>
        <v>109.61644000000001</v>
      </c>
      <c r="P29" s="369"/>
      <c r="Q29" s="336"/>
      <c r="R29" s="333"/>
      <c r="S29" s="336">
        <f>L29+M29+N29+O29+P29+Q29+R29</f>
        <v>1205.7808400000001</v>
      </c>
      <c r="T29" s="336">
        <f t="shared" si="13"/>
        <v>132.63589240000002</v>
      </c>
      <c r="U29" s="336">
        <f t="shared" si="14"/>
        <v>36.173425200000004</v>
      </c>
      <c r="V29" s="370">
        <f t="shared" si="14"/>
        <v>36.173425200000004</v>
      </c>
      <c r="W29" s="336">
        <f>$S29*2%</f>
        <v>24.115616800000002</v>
      </c>
      <c r="X29" s="336">
        <f t="shared" si="16"/>
        <v>54.260137800000003</v>
      </c>
      <c r="Y29" s="336">
        <f t="shared" si="17"/>
        <v>283.35849740000003</v>
      </c>
      <c r="Z29" s="371">
        <f t="shared" si="18"/>
        <v>922.42234260000009</v>
      </c>
      <c r="AA29" s="336"/>
      <c r="AB29" s="336"/>
      <c r="AC29" s="333">
        <f t="shared" si="19"/>
        <v>922.42234260000009</v>
      </c>
      <c r="AD29" s="571"/>
      <c r="AE29" s="444"/>
      <c r="AF29" s="333"/>
      <c r="AG29" s="336"/>
      <c r="AH29" s="580"/>
      <c r="AI29" s="13"/>
      <c r="AJ29" s="13"/>
      <c r="AK29" s="13"/>
      <c r="AL29" s="18"/>
      <c r="AM29" s="19"/>
      <c r="AN29" s="19"/>
    </row>
    <row r="30" spans="1:42" s="1" customFormat="1" ht="27.75" customHeight="1" x14ac:dyDescent="0.2">
      <c r="A30" s="415">
        <v>849</v>
      </c>
      <c r="B30" s="338" t="s">
        <v>4</v>
      </c>
      <c r="C30" s="339">
        <v>0</v>
      </c>
      <c r="D30" s="339"/>
      <c r="E30" s="339"/>
      <c r="F30" s="339"/>
      <c r="G30" s="340">
        <v>2359</v>
      </c>
      <c r="H30" s="339">
        <f t="shared" si="10"/>
        <v>2359</v>
      </c>
      <c r="I30" s="339"/>
      <c r="J30" s="339"/>
      <c r="K30" s="341">
        <f>H30*'DATOS REFERENCIALES'!$C$4</f>
        <v>12927.320000000002</v>
      </c>
      <c r="L30" s="341"/>
      <c r="M30" s="341"/>
      <c r="N30" s="343">
        <f>LOOKUP(C30,'TABLA ANTIG.'!$A$4:$A$39,'TABLA ANTIG.'!$B$4:$B$39)*(K30)</f>
        <v>0</v>
      </c>
      <c r="O30" s="343">
        <f t="shared" si="11"/>
        <v>1292.7320000000002</v>
      </c>
      <c r="P30" s="341">
        <f>'DATOS REFERENCIALES'!$D$8</f>
        <v>7280</v>
      </c>
      <c r="Q30" s="343">
        <f>LOOKUP(C30,'TABLA ANTIG.'!$A$4:$A$39,'TABLA ANTIG.'!$B$4:$B$39)*(P30)</f>
        <v>0</v>
      </c>
      <c r="R30" s="347">
        <v>0</v>
      </c>
      <c r="S30" s="343">
        <f t="shared" si="12"/>
        <v>21500.052000000003</v>
      </c>
      <c r="T30" s="465">
        <f t="shared" si="13"/>
        <v>2365.0057200000006</v>
      </c>
      <c r="U30" s="450">
        <f t="shared" si="14"/>
        <v>645.00156000000004</v>
      </c>
      <c r="V30" s="450">
        <f t="shared" si="14"/>
        <v>645.00156000000004</v>
      </c>
      <c r="W30" s="450">
        <f t="shared" si="15"/>
        <v>430.0010400000001</v>
      </c>
      <c r="X30" s="450">
        <f t="shared" si="16"/>
        <v>967.50234000000012</v>
      </c>
      <c r="Y30" s="450">
        <f t="shared" si="17"/>
        <v>5052.5122200000014</v>
      </c>
      <c r="Z30" s="450">
        <f t="shared" si="18"/>
        <v>16447.539780000003</v>
      </c>
      <c r="AA30" s="466">
        <f>'DATOS REFERENCIALES'!$D$10</f>
        <v>2588</v>
      </c>
      <c r="AB30" s="450">
        <f>IF((IF(H30&gt;2043,('DATOS REFERENCIALES'!$D$9-(S30-T30-U30-V30-W30-X30+AA30)),(('DATOS REFERENCIALES'!$D$9/2043)*H30)-(K30+N30+O30+P30+Q30+R30-T30-U30-V30-W30-X30+AA30)))&lt;0,0,IF(H30&gt;2043,(('DATOS REFERENCIALES'!$D$9)-(S30-T30-U30-V30-W30-X30+AA30)),(('DATOS REFERENCIALES'!$D$9/2043)*H30)-(K30+N30+O30+P30+Q30+R30-T30-U30-V30-W30-X30+AA30)))</f>
        <v>10186.460219999997</v>
      </c>
      <c r="AC30" s="450">
        <f t="shared" si="19"/>
        <v>29222</v>
      </c>
      <c r="AD30" s="574">
        <f>'DATOS REFERENCIALES'!$D$13</f>
        <v>2420</v>
      </c>
      <c r="AE30" s="421">
        <f>IF(H30&gt;2043,'DATOS REFERENCIALES'!$D$15,'DATOS REFERENCIALES'!$D$15/2043*H30)</f>
        <v>0</v>
      </c>
      <c r="AF30" s="449">
        <f>'DATOS REFERENCIALES'!$D$11</f>
        <v>640</v>
      </c>
      <c r="AG30" s="451">
        <f>'DATOS REFERENCIALES'!$D$12</f>
        <v>420</v>
      </c>
      <c r="AH30" s="581">
        <f>SUM(AC30:AG30)+SUM(AC31:AG31)</f>
        <v>33517.898540599999</v>
      </c>
      <c r="AI30" s="13"/>
      <c r="AJ30" s="18"/>
      <c r="AK30" s="13"/>
      <c r="AL30" s="18"/>
      <c r="AM30" s="19"/>
      <c r="AN30" s="19"/>
      <c r="AO30" s="9"/>
      <c r="AP30" s="8"/>
    </row>
    <row r="31" spans="1:42" s="1" customFormat="1" ht="27.75" customHeight="1" thickBot="1" x14ac:dyDescent="0.25">
      <c r="A31" s="422">
        <v>849</v>
      </c>
      <c r="B31" s="350" t="s">
        <v>4</v>
      </c>
      <c r="C31" s="351">
        <f>IF(C30&gt;0,C30,0)</f>
        <v>0</v>
      </c>
      <c r="D31" s="351"/>
      <c r="E31" s="351"/>
      <c r="F31" s="351"/>
      <c r="G31" s="352"/>
      <c r="H31" s="351"/>
      <c r="I31" s="351">
        <v>176.93</v>
      </c>
      <c r="J31" s="452"/>
      <c r="K31" s="353"/>
      <c r="L31" s="353">
        <f>I31*'DATOS REFERENCIALES'!$C$4</f>
        <v>969.57640000000015</v>
      </c>
      <c r="M31" s="353"/>
      <c r="N31" s="357">
        <f>LOOKUP(C31,'TABLA ANTIG.'!$A$4:$A$39,'TABLA ANTIG.'!$B$4:$B$39)*(L31+M31)</f>
        <v>0</v>
      </c>
      <c r="O31" s="357">
        <f>(L31+M31)*0.1</f>
        <v>96.957640000000026</v>
      </c>
      <c r="P31" s="353"/>
      <c r="Q31" s="357"/>
      <c r="R31" s="359"/>
      <c r="S31" s="357">
        <f>L31+M31+N31+O31+P31+Q31+R31</f>
        <v>1066.5340400000002</v>
      </c>
      <c r="T31" s="358">
        <f t="shared" si="13"/>
        <v>117.31874440000003</v>
      </c>
      <c r="U31" s="357">
        <f t="shared" si="14"/>
        <v>31.996021200000005</v>
      </c>
      <c r="V31" s="358">
        <f t="shared" si="14"/>
        <v>31.996021200000005</v>
      </c>
      <c r="W31" s="357">
        <f>$S31*2%</f>
        <v>21.330680800000007</v>
      </c>
      <c r="X31" s="357">
        <f t="shared" si="16"/>
        <v>47.994031800000009</v>
      </c>
      <c r="Y31" s="357">
        <f t="shared" si="17"/>
        <v>250.63549940000007</v>
      </c>
      <c r="Z31" s="360">
        <f t="shared" si="18"/>
        <v>815.89854060000016</v>
      </c>
      <c r="AA31" s="357"/>
      <c r="AB31" s="357"/>
      <c r="AC31" s="359">
        <f t="shared" si="19"/>
        <v>815.89854060000016</v>
      </c>
      <c r="AD31" s="361"/>
      <c r="AE31" s="428"/>
      <c r="AF31" s="359"/>
      <c r="AG31" s="357"/>
      <c r="AH31" s="582"/>
      <c r="AI31" s="13"/>
      <c r="AJ31" s="18"/>
      <c r="AK31" s="13"/>
      <c r="AL31" s="18"/>
      <c r="AM31" s="19"/>
      <c r="AN31" s="19"/>
      <c r="AO31" s="9"/>
      <c r="AP31" s="8"/>
    </row>
    <row r="32" spans="1:42" s="7" customFormat="1" ht="21" customHeight="1" x14ac:dyDescent="0.2">
      <c r="A32" s="181">
        <v>855</v>
      </c>
      <c r="B32" s="182" t="s">
        <v>7</v>
      </c>
      <c r="C32" s="139">
        <v>0</v>
      </c>
      <c r="D32" s="213"/>
      <c r="E32" s="213"/>
      <c r="F32" s="213"/>
      <c r="G32" s="243">
        <v>2043</v>
      </c>
      <c r="H32" s="213">
        <f t="shared" si="10"/>
        <v>2043</v>
      </c>
      <c r="I32" s="213"/>
      <c r="J32" s="213"/>
      <c r="K32" s="120">
        <f>H32*'DATOS REFERENCIALES'!$C$4</f>
        <v>11195.640000000001</v>
      </c>
      <c r="L32" s="120"/>
      <c r="M32" s="120"/>
      <c r="N32" s="122">
        <f>LOOKUP(C32,'TABLA ANTIG.'!$A$4:$A$39,'TABLA ANTIG.'!$B$4:$B$39)*(K32)</f>
        <v>0</v>
      </c>
      <c r="O32" s="166">
        <f t="shared" si="11"/>
        <v>1119.5640000000001</v>
      </c>
      <c r="P32" s="120">
        <f>'DATOS REFERENCIALES'!$D$8</f>
        <v>7280</v>
      </c>
      <c r="Q32" s="122">
        <f>LOOKUP(C32,'TABLA ANTIG.'!$A$4:$A$39,'TABLA ANTIG.'!$B$4:$B$39)*(P32)</f>
        <v>0</v>
      </c>
      <c r="R32" s="122">
        <v>0</v>
      </c>
      <c r="S32" s="133">
        <f t="shared" si="12"/>
        <v>19595.204000000002</v>
      </c>
      <c r="T32" s="94">
        <f t="shared" si="13"/>
        <v>2155.47244</v>
      </c>
      <c r="U32" s="94">
        <f t="shared" si="14"/>
        <v>587.85612000000003</v>
      </c>
      <c r="V32" s="94">
        <f t="shared" si="14"/>
        <v>587.85612000000003</v>
      </c>
      <c r="W32" s="94">
        <f t="shared" si="15"/>
        <v>391.90408000000002</v>
      </c>
      <c r="X32" s="94">
        <f t="shared" si="16"/>
        <v>881.78417999999999</v>
      </c>
      <c r="Y32" s="31">
        <f t="shared" si="17"/>
        <v>4604.8729399999993</v>
      </c>
      <c r="Z32" s="94">
        <f t="shared" si="18"/>
        <v>14990.331060000002</v>
      </c>
      <c r="AA32" s="108">
        <f>'DATOS REFERENCIALES'!$D$10</f>
        <v>2588</v>
      </c>
      <c r="AB32" s="94">
        <f>IF((IF(H32&gt;2043,('DATOS REFERENCIALES'!$D$9-(S32-T32-U32-V32-W32-X32+AA32)),(('DATOS REFERENCIALES'!$D$9/2043)*H32)-(K32+N32+O32+P32+Q32+R32-T32-U32-V32-W32-X32+AA32)))&lt;0,0,IF(H32&gt;2043,(('DATOS REFERENCIALES'!$D$9)-(S32-T32-U32-V32-W32-X32+AA32)),(('DATOS REFERENCIALES'!$D$9/2043)*H32)-(K32+N32+O32+P32+Q32+R32-T32-U32-V32-W32-X32+AA32)))</f>
        <v>11643.668940000003</v>
      </c>
      <c r="AC32" s="94">
        <f t="shared" si="19"/>
        <v>29222.000000000007</v>
      </c>
      <c r="AD32" s="106">
        <f>'DATOS REFERENCIALES'!$D$13</f>
        <v>2420</v>
      </c>
      <c r="AE32" s="307">
        <f>IF(H32&gt;2043,'DATOS REFERENCIALES'!$D$15,'DATOS REFERENCIALES'!$D$15/2043*H32)</f>
        <v>0</v>
      </c>
      <c r="AF32" s="150">
        <f>'DATOS REFERENCIALES'!$D$11</f>
        <v>640</v>
      </c>
      <c r="AG32" s="168">
        <f>'DATOS REFERENCIALES'!$D$12</f>
        <v>420</v>
      </c>
      <c r="AH32" s="94">
        <f>SUM(AC32:AG32)</f>
        <v>32702.000000000007</v>
      </c>
      <c r="AI32" s="13"/>
      <c r="AJ32" s="18"/>
      <c r="AK32" s="13"/>
      <c r="AL32" s="18"/>
      <c r="AM32" s="19"/>
      <c r="AN32" s="19"/>
      <c r="AO32" s="9"/>
      <c r="AP32" s="8"/>
    </row>
    <row r="33" spans="1:42" s="7" customFormat="1" ht="23.25" customHeight="1" x14ac:dyDescent="0.2">
      <c r="A33" s="89">
        <v>856</v>
      </c>
      <c r="B33" s="116" t="s">
        <v>75</v>
      </c>
      <c r="C33" s="47">
        <v>0</v>
      </c>
      <c r="D33" s="49"/>
      <c r="E33" s="49"/>
      <c r="F33" s="49"/>
      <c r="G33" s="67">
        <v>2043</v>
      </c>
      <c r="H33" s="49">
        <f t="shared" si="10"/>
        <v>2043</v>
      </c>
      <c r="I33" s="49"/>
      <c r="J33" s="49"/>
      <c r="K33" s="104">
        <f>H33*'DATOS REFERENCIALES'!$C$4</f>
        <v>11195.640000000001</v>
      </c>
      <c r="L33" s="104"/>
      <c r="M33" s="104"/>
      <c r="N33" s="94">
        <f>LOOKUP(C33,'TABLA ANTIG.'!$A$4:$A$39,'TABLA ANTIG.'!$B$4:$B$39)*(K33)</f>
        <v>0</v>
      </c>
      <c r="O33" s="113">
        <f t="shared" si="11"/>
        <v>1119.5640000000001</v>
      </c>
      <c r="P33" s="104">
        <f>'DATOS REFERENCIALES'!$D$8</f>
        <v>7280</v>
      </c>
      <c r="Q33" s="94">
        <f>LOOKUP(C33,'TABLA ANTIG.'!$A$4:$A$39,'TABLA ANTIG.'!$B$4:$B$39)*(P33)</f>
        <v>0</v>
      </c>
      <c r="R33" s="94">
        <v>0</v>
      </c>
      <c r="S33" s="31">
        <f t="shared" si="12"/>
        <v>19595.204000000002</v>
      </c>
      <c r="T33" s="94">
        <f t="shared" si="13"/>
        <v>2155.47244</v>
      </c>
      <c r="U33" s="94">
        <f t="shared" si="14"/>
        <v>587.85612000000003</v>
      </c>
      <c r="V33" s="94">
        <f t="shared" si="14"/>
        <v>587.85612000000003</v>
      </c>
      <c r="W33" s="94">
        <f t="shared" si="15"/>
        <v>391.90408000000002</v>
      </c>
      <c r="X33" s="94">
        <f t="shared" si="16"/>
        <v>881.78417999999999</v>
      </c>
      <c r="Y33" s="31">
        <f t="shared" si="17"/>
        <v>4604.8729399999993</v>
      </c>
      <c r="Z33" s="94">
        <f t="shared" si="18"/>
        <v>14990.331060000002</v>
      </c>
      <c r="AA33" s="108">
        <f>'DATOS REFERENCIALES'!$D$10</f>
        <v>2588</v>
      </c>
      <c r="AB33" s="94">
        <f>IF((IF(H33&gt;2043,('DATOS REFERENCIALES'!$D$9-(S33-T33-U33-V33-W33-X33+AA33)),(('DATOS REFERENCIALES'!$D$9/2043)*H33)-(K33+N33+O33+P33+Q33+R33-T33-U33-V33-W33-X33+AA33)))&lt;0,0,IF(H33&gt;2043,(('DATOS REFERENCIALES'!$D$9)-(S33-T33-U33-V33-W33-X33+AA33)),(('DATOS REFERENCIALES'!$D$9/2043)*H33)-(K33+N33+O33+P33+Q33+R33-T33-U33-V33-W33-X33+AA33)))</f>
        <v>11643.668940000003</v>
      </c>
      <c r="AC33" s="94">
        <f t="shared" si="19"/>
        <v>29222.000000000007</v>
      </c>
      <c r="AD33" s="106">
        <f>'DATOS REFERENCIALES'!$D$13</f>
        <v>2420</v>
      </c>
      <c r="AE33" s="308">
        <f>IF(H33&gt;2043,'DATOS REFERENCIALES'!$D$15,'DATOS REFERENCIALES'!$D$15/2043*H33)</f>
        <v>0</v>
      </c>
      <c r="AF33" s="150">
        <f>'DATOS REFERENCIALES'!$D$11</f>
        <v>640</v>
      </c>
      <c r="AG33" s="168">
        <f>'DATOS REFERENCIALES'!$D$12</f>
        <v>420</v>
      </c>
      <c r="AH33" s="94">
        <f>SUM(AC33:AG33)</f>
        <v>32702.000000000007</v>
      </c>
      <c r="AI33" s="13"/>
      <c r="AJ33" s="18"/>
      <c r="AK33" s="13"/>
      <c r="AL33" s="18"/>
      <c r="AM33" s="19"/>
      <c r="AN33" s="19"/>
      <c r="AO33" s="9"/>
      <c r="AP33" s="8"/>
    </row>
    <row r="34" spans="1:42" s="1" customFormat="1" ht="24" customHeight="1" thickBot="1" x14ac:dyDescent="0.25">
      <c r="A34" s="90">
        <v>5566</v>
      </c>
      <c r="B34" s="117" t="s">
        <v>9</v>
      </c>
      <c r="C34" s="69">
        <v>0</v>
      </c>
      <c r="D34" s="28">
        <v>1</v>
      </c>
      <c r="E34" s="69"/>
      <c r="F34" s="69"/>
      <c r="G34" s="65">
        <v>56</v>
      </c>
      <c r="H34" s="69">
        <f t="shared" si="10"/>
        <v>56</v>
      </c>
      <c r="I34" s="69"/>
      <c r="J34" s="69"/>
      <c r="K34" s="105">
        <f>(H34*'DATOS REFERENCIALES'!$C$4)*D34</f>
        <v>306.88</v>
      </c>
      <c r="L34" s="105"/>
      <c r="M34" s="105"/>
      <c r="N34" s="95">
        <f>LOOKUP(C34,'TABLA ANTIG.'!$A$4:$A$39,'TABLA ANTIG.'!$B$4:$B$39)*(K34)</f>
        <v>0</v>
      </c>
      <c r="O34" s="35">
        <f t="shared" si="11"/>
        <v>30.688000000000002</v>
      </c>
      <c r="P34" s="105">
        <f>IF(D34&gt;48,'DATOS REFERENCIALES'!$D$8+('DATOS REFERENCIALES'!$F$8*10),IF(D34&lt;39,'DATOS REFERENCIALES'!$E$8*D34,((D34-'DATOS REFERENCIALES'!$I$8)*'DATOS REFERENCIALES'!$F$8)+'DATOS REFERENCIALES'!$D$8))</f>
        <v>191.57</v>
      </c>
      <c r="Q34" s="95">
        <f>LOOKUP(C34,'TABLA ANTIG.'!$A$4:$A$39,'TABLA ANTIG.'!$B$4:$B$39)*(P34)</f>
        <v>0</v>
      </c>
      <c r="R34" s="35">
        <v>0</v>
      </c>
      <c r="S34" s="35">
        <f t="shared" si="12"/>
        <v>529.13799999999992</v>
      </c>
      <c r="T34" s="35">
        <f t="shared" si="13"/>
        <v>58.205179999999991</v>
      </c>
      <c r="U34" s="35">
        <f t="shared" si="14"/>
        <v>15.874139999999997</v>
      </c>
      <c r="V34" s="35">
        <f t="shared" si="14"/>
        <v>15.874139999999997</v>
      </c>
      <c r="W34" s="35">
        <f t="shared" si="15"/>
        <v>10.582759999999999</v>
      </c>
      <c r="X34" s="35">
        <f t="shared" si="16"/>
        <v>23.811209999999996</v>
      </c>
      <c r="Y34" s="35">
        <f t="shared" si="17"/>
        <v>124.34742999999997</v>
      </c>
      <c r="Z34" s="95">
        <f t="shared" si="18"/>
        <v>404.79056999999995</v>
      </c>
      <c r="AA34" s="95">
        <f>IF(D34&gt;38,'DATOS REFERENCIALES'!$D$10,'DATOS REFERENCIALES'!$E$10*D34)</f>
        <v>68.105000000000004</v>
      </c>
      <c r="AB34" s="95">
        <f>IF(D34&gt;40,('DATOS REFERENCIALES'!D20-((K34+N34+O34+P34+Q34+R34)-(T34+U34+V34+W34+X34))+AA34),IF((IF(H34&gt;1119,('DATOS REFERENCIALES'!$C$9-(S34-T34-U34-V34-W34-X34+AA34)),('DATOS REFERENCIALES'!$C$9/20*D34)-(((K34+N34+O34+P34+Q34+R34)-(T34+U34+V34+W34+X34)+AA34))))&lt;0,0,IF(H34&gt;1119,(('DATOS REFERENCIALES'!$C$9/20*D34)-(S34-T34-U34-V34-W34-X34+AA34)),('DATOS REFERENCIALES'!$C$9/20*D34)-(K34+N34+O34+P34+Q34+R34-T34-U34-V34-W34-X34+AA34))))</f>
        <v>257.65443000000005</v>
      </c>
      <c r="AC34" s="95">
        <f t="shared" si="19"/>
        <v>730.55</v>
      </c>
      <c r="AD34" s="107">
        <f>IF(D34&gt;30,'DATOS REFERENCIALES'!$D$13,('DATOS REFERENCIALES'!$E$13*D34))</f>
        <v>80.666659999999993</v>
      </c>
      <c r="AE34" s="306">
        <f>IF(D34&gt;'DATOS REFERENCIALES'!$I$15,'DATOS REFERENCIALES'!$D$15,'DATOS REFERENCIALES'!$E$15*D34)</f>
        <v>0</v>
      </c>
      <c r="AF34" s="179">
        <f>IF(D34&gt;'DATOS REFERENCIALES'!$I$11,'DATOS REFERENCIALES'!$D$11,'DATOS REFERENCIALES'!$E$11*D34)</f>
        <v>21.34</v>
      </c>
      <c r="AG34" s="171">
        <f>IF(D34&gt;'DATOS REFERENCIALES'!$I$12,'DATOS REFERENCIALES'!$D$12,'DATOS REFERENCIALES'!$E$12*D34)</f>
        <v>14</v>
      </c>
      <c r="AH34" s="95">
        <f>SUM(AC34:AG34)</f>
        <v>846.55665999999997</v>
      </c>
      <c r="AI34" s="13"/>
      <c r="AJ34" s="18"/>
      <c r="AK34" s="19"/>
      <c r="AL34" s="18"/>
      <c r="AM34" s="19"/>
      <c r="AN34" s="19"/>
    </row>
    <row r="35" spans="1:42" s="1" customFormat="1" ht="15" x14ac:dyDescent="0.2">
      <c r="A35" s="55"/>
      <c r="B35" s="111"/>
      <c r="C35" s="56"/>
      <c r="D35" s="56"/>
      <c r="E35" s="56"/>
      <c r="F35" s="56"/>
      <c r="G35" s="80"/>
      <c r="H35" s="56"/>
      <c r="I35" s="56"/>
      <c r="J35" s="56"/>
      <c r="K35" s="53"/>
      <c r="L35" s="53"/>
      <c r="M35" s="53"/>
      <c r="N35" s="54"/>
      <c r="O35" s="87"/>
      <c r="P35" s="53"/>
      <c r="Q35" s="54"/>
      <c r="R35" s="87"/>
      <c r="S35" s="87"/>
      <c r="T35" s="87"/>
      <c r="U35" s="87"/>
      <c r="V35" s="87"/>
      <c r="W35" s="87"/>
      <c r="X35" s="87"/>
      <c r="Y35" s="87"/>
      <c r="Z35" s="57"/>
      <c r="AA35" s="58"/>
      <c r="AB35" s="57"/>
      <c r="AC35" s="57"/>
      <c r="AD35" s="59"/>
      <c r="AE35" s="59"/>
      <c r="AF35" s="82"/>
      <c r="AG35" s="82"/>
      <c r="AH35" s="57"/>
      <c r="AI35" s="13"/>
      <c r="AJ35" s="18"/>
      <c r="AK35" s="19"/>
      <c r="AL35" s="18"/>
      <c r="AM35" s="19"/>
      <c r="AN35" s="19"/>
    </row>
    <row r="36" spans="1:42" s="1" customFormat="1" ht="15.75" thickBot="1" x14ac:dyDescent="0.25">
      <c r="A36" s="55"/>
      <c r="B36" s="111"/>
      <c r="C36" s="56"/>
      <c r="D36" s="56"/>
      <c r="E36" s="56"/>
      <c r="F36" s="56"/>
      <c r="G36" s="80"/>
      <c r="H36" s="56"/>
      <c r="I36" s="56"/>
      <c r="J36" s="56"/>
      <c r="K36" s="53"/>
      <c r="L36" s="53"/>
      <c r="M36" s="53"/>
      <c r="N36" s="54"/>
      <c r="O36" s="87"/>
      <c r="P36" s="53"/>
      <c r="Q36" s="54"/>
      <c r="R36" s="87"/>
      <c r="S36" s="87"/>
      <c r="T36" s="87"/>
      <c r="U36" s="87"/>
      <c r="V36" s="87"/>
      <c r="W36" s="87"/>
      <c r="X36" s="87"/>
      <c r="Y36" s="87"/>
      <c r="Z36" s="57"/>
      <c r="AA36" s="58"/>
      <c r="AB36" s="57"/>
      <c r="AC36" s="57"/>
      <c r="AD36" s="59"/>
      <c r="AE36" s="59"/>
      <c r="AF36" s="82"/>
      <c r="AG36" s="82"/>
      <c r="AH36" s="57"/>
      <c r="AI36" s="13"/>
      <c r="AJ36" s="18"/>
      <c r="AK36" s="19"/>
      <c r="AL36" s="18"/>
      <c r="AM36" s="19"/>
      <c r="AN36" s="19"/>
    </row>
    <row r="37" spans="1:42" s="1" customFormat="1" ht="21" thickBot="1" x14ac:dyDescent="0.35">
      <c r="A37" s="109" t="s">
        <v>137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09" t="s">
        <v>137</v>
      </c>
      <c r="AE37" s="110"/>
      <c r="AF37" s="110"/>
      <c r="AG37" s="110"/>
      <c r="AH37" s="110"/>
      <c r="AI37" s="13"/>
      <c r="AJ37" s="13"/>
      <c r="AK37" s="13"/>
      <c r="AL37" s="18"/>
      <c r="AM37" s="19"/>
      <c r="AN37" s="19"/>
    </row>
    <row r="38" spans="1:42" s="2" customFormat="1" ht="33" customHeight="1" thickBot="1" x14ac:dyDescent="0.25">
      <c r="A38" s="621" t="s">
        <v>1</v>
      </c>
      <c r="B38" s="621" t="s">
        <v>0</v>
      </c>
      <c r="C38" s="585" t="s">
        <v>83</v>
      </c>
      <c r="D38" s="585" t="s">
        <v>126</v>
      </c>
      <c r="E38" s="585" t="s">
        <v>119</v>
      </c>
      <c r="F38" s="585" t="s">
        <v>120</v>
      </c>
      <c r="G38" s="585" t="s">
        <v>109</v>
      </c>
      <c r="H38" s="585" t="s">
        <v>85</v>
      </c>
      <c r="I38" s="585" t="s">
        <v>156</v>
      </c>
      <c r="J38" s="602" t="s">
        <v>155</v>
      </c>
      <c r="K38" s="602" t="s">
        <v>128</v>
      </c>
      <c r="L38" s="602" t="s">
        <v>154</v>
      </c>
      <c r="M38" s="602" t="s">
        <v>155</v>
      </c>
      <c r="N38" s="596" t="s">
        <v>91</v>
      </c>
      <c r="O38" s="596" t="s">
        <v>127</v>
      </c>
      <c r="P38" s="611" t="s">
        <v>92</v>
      </c>
      <c r="Q38" s="596" t="s">
        <v>108</v>
      </c>
      <c r="R38" s="596" t="s">
        <v>90</v>
      </c>
      <c r="S38" s="596" t="s">
        <v>74</v>
      </c>
      <c r="T38" s="633" t="s">
        <v>63</v>
      </c>
      <c r="U38" s="634"/>
      <c r="V38" s="634"/>
      <c r="W38" s="634"/>
      <c r="X38" s="635"/>
      <c r="Y38" s="618" t="s">
        <v>73</v>
      </c>
      <c r="Z38" s="585" t="s">
        <v>95</v>
      </c>
      <c r="AA38" s="585" t="s">
        <v>94</v>
      </c>
      <c r="AB38" s="585" t="s">
        <v>93</v>
      </c>
      <c r="AC38" s="585" t="s">
        <v>97</v>
      </c>
      <c r="AD38" s="585" t="s">
        <v>96</v>
      </c>
      <c r="AE38" s="585" t="s">
        <v>182</v>
      </c>
      <c r="AF38" s="585" t="s">
        <v>107</v>
      </c>
      <c r="AG38" s="618" t="s">
        <v>153</v>
      </c>
      <c r="AH38" s="585" t="s">
        <v>98</v>
      </c>
      <c r="AI38" s="17"/>
      <c r="AJ38" s="17"/>
      <c r="AK38" s="17"/>
      <c r="AL38" s="18"/>
      <c r="AM38" s="19"/>
      <c r="AN38" s="19"/>
    </row>
    <row r="39" spans="1:42" s="2" customFormat="1" ht="89.25" customHeight="1" thickBot="1" x14ac:dyDescent="0.25">
      <c r="A39" s="622"/>
      <c r="B39" s="622"/>
      <c r="C39" s="586"/>
      <c r="D39" s="586"/>
      <c r="E39" s="586"/>
      <c r="F39" s="586"/>
      <c r="G39" s="586"/>
      <c r="H39" s="586"/>
      <c r="I39" s="586"/>
      <c r="J39" s="603"/>
      <c r="K39" s="603"/>
      <c r="L39" s="603"/>
      <c r="M39" s="603"/>
      <c r="N39" s="597"/>
      <c r="O39" s="597"/>
      <c r="P39" s="612"/>
      <c r="Q39" s="597"/>
      <c r="R39" s="597"/>
      <c r="S39" s="597"/>
      <c r="T39" s="92" t="s">
        <v>148</v>
      </c>
      <c r="U39" s="119" t="s">
        <v>65</v>
      </c>
      <c r="V39" s="119" t="s">
        <v>66</v>
      </c>
      <c r="W39" s="119" t="s">
        <v>67</v>
      </c>
      <c r="X39" s="119" t="s">
        <v>68</v>
      </c>
      <c r="Y39" s="632"/>
      <c r="Z39" s="586"/>
      <c r="AA39" s="586"/>
      <c r="AB39" s="586"/>
      <c r="AC39" s="586"/>
      <c r="AD39" s="586"/>
      <c r="AE39" s="586"/>
      <c r="AF39" s="586"/>
      <c r="AG39" s="586"/>
      <c r="AH39" s="586"/>
      <c r="AI39" s="17"/>
      <c r="AJ39" s="17"/>
      <c r="AK39" s="17"/>
      <c r="AL39" s="18"/>
      <c r="AM39" s="19"/>
      <c r="AN39" s="19"/>
    </row>
    <row r="40" spans="1:42" s="1" customFormat="1" ht="21.75" customHeight="1" x14ac:dyDescent="0.2">
      <c r="A40" s="467">
        <v>578</v>
      </c>
      <c r="B40" s="445" t="s">
        <v>5</v>
      </c>
      <c r="C40" s="374">
        <v>0</v>
      </c>
      <c r="D40" s="374"/>
      <c r="E40" s="375"/>
      <c r="F40" s="376"/>
      <c r="G40" s="377">
        <v>1187</v>
      </c>
      <c r="H40" s="374">
        <f>SUM(G40:G40)</f>
        <v>1187</v>
      </c>
      <c r="I40" s="374"/>
      <c r="J40" s="374"/>
      <c r="K40" s="379">
        <f>H40*'DATOS REFERENCIALES'!$C$4</f>
        <v>6504.76</v>
      </c>
      <c r="L40" s="379"/>
      <c r="M40" s="379"/>
      <c r="N40" s="381">
        <f>LOOKUP(C40,'TABLA ANTIG.'!$A$4:$A$39,'TABLA ANTIG.'!$B$4:$B$39)*(K40)</f>
        <v>0</v>
      </c>
      <c r="O40" s="381">
        <f>K40*0.1</f>
        <v>650.47600000000011</v>
      </c>
      <c r="P40" s="379">
        <f>'DATOS REFERENCIALES'!$C$8</f>
        <v>3640</v>
      </c>
      <c r="Q40" s="381">
        <f>LOOKUP(C40,'TABLA ANTIG.'!$A$4:$A$39,'TABLA ANTIG.'!$B$4:$B$39)*(P40)</f>
        <v>0</v>
      </c>
      <c r="R40" s="380">
        <v>0</v>
      </c>
      <c r="S40" s="381">
        <f>K40+N40+O40+P40+Q40+R40</f>
        <v>10795.236000000001</v>
      </c>
      <c r="T40" s="385">
        <f t="shared" ref="T40:T46" si="20">$S40*11%</f>
        <v>1187.47596</v>
      </c>
      <c r="U40" s="381">
        <f t="shared" ref="U40:V46" si="21">$S40*3%</f>
        <v>323.85708</v>
      </c>
      <c r="V40" s="381">
        <f t="shared" si="21"/>
        <v>323.85708</v>
      </c>
      <c r="W40" s="381">
        <f t="shared" ref="W40:W46" si="22">$S40*2%</f>
        <v>215.90472000000003</v>
      </c>
      <c r="X40" s="381">
        <f t="shared" ref="X40:X46" si="23">$S40*4.5%</f>
        <v>485.78561999999999</v>
      </c>
      <c r="Y40" s="381">
        <f t="shared" ref="Y40:Y46" si="24">SUM(T40:X40)</f>
        <v>2536.8804600000003</v>
      </c>
      <c r="Z40" s="381">
        <f t="shared" ref="Z40:Z46" si="25">S40-Y40</f>
        <v>8258.3555400000005</v>
      </c>
      <c r="AA40" s="381">
        <f>'DATOS REFERENCIALES'!$C$10</f>
        <v>1294</v>
      </c>
      <c r="AB40" s="381">
        <f>IF((IF(H40&gt;1119,('DATOS REFERENCIALES'!$C$9-(S40-T40-U40-V40-W40-X40+AA40)),(('DATOS REFERENCIALES'!$C$9/1120)*H40)-(K40+N40+O40+P40+Q40+R40-T40-U40-V40-W40-X40+AA40)))&lt;0,0,IF(H40&gt;1119,(('DATOS REFERENCIALES'!$C$9)-(S40-T40-U40-V40-W40-X40+AA40)),(('DATOS REFERENCIALES'!$C$9/1120)*H40)-(K40+N40+O40+P40+Q40+R40-T40-U40-V40-W40-X40+AA40)))</f>
        <v>5058.6444599999995</v>
      </c>
      <c r="AC40" s="381">
        <f t="shared" ref="AC40:AC46" si="26">SUM(Z40:AB40)</f>
        <v>14611</v>
      </c>
      <c r="AD40" s="386">
        <f>'DATOS REFERENCIALES'!$C$13</f>
        <v>1210</v>
      </c>
      <c r="AE40" s="408">
        <f>IF(H40&gt;1119,'DATOS REFERENCIALES'!$C$15,'DATOS REFERENCIALES'!$C$15/1120*H40)</f>
        <v>0</v>
      </c>
      <c r="AF40" s="385">
        <f>'DATOS REFERENCIALES'!$C$11</f>
        <v>320</v>
      </c>
      <c r="AG40" s="384">
        <f>'DATOS REFERENCIALES'!$C$12</f>
        <v>210</v>
      </c>
      <c r="AH40" s="583">
        <f>SUM(AC40:AG40)+SUM(AC41:AG41)</f>
        <v>17089.980055</v>
      </c>
      <c r="AI40" s="13"/>
      <c r="AJ40" s="13"/>
      <c r="AK40" s="13"/>
      <c r="AL40" s="18"/>
      <c r="AM40" s="19"/>
      <c r="AN40" s="19"/>
    </row>
    <row r="41" spans="1:42" s="1" customFormat="1" ht="24" customHeight="1" thickBot="1" x14ac:dyDescent="0.25">
      <c r="A41" s="468">
        <v>578</v>
      </c>
      <c r="B41" s="447" t="s">
        <v>5</v>
      </c>
      <c r="C41" s="389">
        <f>IF(C40&gt;0,C40,0)</f>
        <v>0</v>
      </c>
      <c r="D41" s="389"/>
      <c r="E41" s="390"/>
      <c r="F41" s="391"/>
      <c r="G41" s="392"/>
      <c r="H41" s="389"/>
      <c r="I41" s="389">
        <v>89.03</v>
      </c>
      <c r="J41" s="469">
        <v>0.06</v>
      </c>
      <c r="K41" s="394"/>
      <c r="L41" s="394">
        <f>I41*'DATOS REFERENCIALES'!$C$4</f>
        <v>487.88440000000003</v>
      </c>
      <c r="M41" s="394">
        <f>K40*J41</f>
        <v>390.28559999999999</v>
      </c>
      <c r="N41" s="396">
        <f>LOOKUP(C41,'TABLA ANTIG.'!$A$4:$A$39,'TABLA ANTIG.'!$B$4:$B$39)*(L41+M41)</f>
        <v>0</v>
      </c>
      <c r="O41" s="396">
        <f>(L41+M41)*0.1</f>
        <v>87.817000000000007</v>
      </c>
      <c r="P41" s="394"/>
      <c r="Q41" s="396"/>
      <c r="R41" s="395"/>
      <c r="S41" s="396">
        <f>L41+M41+N41+O41+P41+Q41+R41</f>
        <v>965.98700000000008</v>
      </c>
      <c r="T41" s="395">
        <f t="shared" si="20"/>
        <v>106.25857000000001</v>
      </c>
      <c r="U41" s="396">
        <f t="shared" si="21"/>
        <v>28.979610000000001</v>
      </c>
      <c r="V41" s="399">
        <f t="shared" si="21"/>
        <v>28.979610000000001</v>
      </c>
      <c r="W41" s="396">
        <f t="shared" si="22"/>
        <v>19.319740000000003</v>
      </c>
      <c r="X41" s="396">
        <f t="shared" si="23"/>
        <v>43.469415000000005</v>
      </c>
      <c r="Y41" s="396">
        <f t="shared" si="24"/>
        <v>227.006945</v>
      </c>
      <c r="Z41" s="400">
        <f t="shared" si="25"/>
        <v>738.98005500000011</v>
      </c>
      <c r="AA41" s="396"/>
      <c r="AB41" s="396"/>
      <c r="AC41" s="395">
        <f t="shared" si="26"/>
        <v>738.98005500000011</v>
      </c>
      <c r="AD41" s="401"/>
      <c r="AE41" s="414"/>
      <c r="AF41" s="395"/>
      <c r="AG41" s="396"/>
      <c r="AH41" s="584"/>
      <c r="AI41" s="13"/>
      <c r="AJ41" s="13"/>
      <c r="AK41" s="13"/>
      <c r="AL41" s="18"/>
      <c r="AM41" s="19"/>
      <c r="AN41" s="19"/>
    </row>
    <row r="42" spans="1:42" s="1" customFormat="1" ht="22.5" customHeight="1" x14ac:dyDescent="0.2">
      <c r="A42" s="470">
        <v>854</v>
      </c>
      <c r="B42" s="311" t="s">
        <v>4</v>
      </c>
      <c r="C42" s="312">
        <v>0</v>
      </c>
      <c r="D42" s="312"/>
      <c r="E42" s="362"/>
      <c r="F42" s="363"/>
      <c r="G42" s="364">
        <v>960</v>
      </c>
      <c r="H42" s="312">
        <f>SUM(G42:G42)</f>
        <v>960</v>
      </c>
      <c r="I42" s="312"/>
      <c r="J42" s="312"/>
      <c r="K42" s="314">
        <f>H42*'DATOS REFERENCIALES'!$C$4</f>
        <v>5260.8</v>
      </c>
      <c r="L42" s="314"/>
      <c r="M42" s="314"/>
      <c r="N42" s="316">
        <f>LOOKUP(C42,'TABLA ANTIG.'!$A$4:$A$39,'TABLA ANTIG.'!$B$4:$B$39)*(K42)</f>
        <v>0</v>
      </c>
      <c r="O42" s="316">
        <f>K42*0.1</f>
        <v>526.08000000000004</v>
      </c>
      <c r="P42" s="314">
        <f>'DATOS REFERENCIALES'!$C$8</f>
        <v>3640</v>
      </c>
      <c r="Q42" s="316">
        <f>LOOKUP(C42,'TABLA ANTIG.'!$A$4:$A$39,'TABLA ANTIG.'!$B$4:$B$39)*(P42)</f>
        <v>0</v>
      </c>
      <c r="R42" s="320">
        <v>0</v>
      </c>
      <c r="S42" s="316">
        <f>K42+N42+O42+P42+Q42+R42</f>
        <v>9426.880000000001</v>
      </c>
      <c r="T42" s="318">
        <f t="shared" si="20"/>
        <v>1036.9568000000002</v>
      </c>
      <c r="U42" s="316">
        <f t="shared" si="21"/>
        <v>282.8064</v>
      </c>
      <c r="V42" s="316">
        <f t="shared" si="21"/>
        <v>282.8064</v>
      </c>
      <c r="W42" s="316">
        <f t="shared" si="22"/>
        <v>188.53760000000003</v>
      </c>
      <c r="X42" s="316">
        <f t="shared" si="23"/>
        <v>424.20960000000002</v>
      </c>
      <c r="Y42" s="316">
        <f t="shared" si="24"/>
        <v>2215.3168000000001</v>
      </c>
      <c r="Z42" s="316">
        <f t="shared" si="25"/>
        <v>7211.5632000000005</v>
      </c>
      <c r="AA42" s="316">
        <f>'DATOS REFERENCIALES'!$C$10</f>
        <v>1294</v>
      </c>
      <c r="AB42" s="316">
        <f>IF((IF(H42&gt;1119,('DATOS REFERENCIALES'!$C$9-(S42-T42-U42-V42-W42-X42+AA42)),(('DATOS REFERENCIALES'!$C$9/1120)*H42)-(K42+N42+O42+P42+Q42+R42-T42-U42-V42-W42-X42+AA42)))&lt;0,0,IF(H42&gt;1119,(('DATOS REFERENCIALES'!$C$9)-(S42-T42-U42-V42-W42-X42+AA42)),(('DATOS REFERENCIALES'!$C$9/1120)*H42)-(K42+N42+O42+P42+Q42+R42-T42-U42-V42-W42-X42+AA42)))</f>
        <v>4018.1510857142857</v>
      </c>
      <c r="AC42" s="316">
        <f t="shared" si="26"/>
        <v>12523.714285714286</v>
      </c>
      <c r="AD42" s="321">
        <f>'DATOS REFERENCIALES'!$C$13</f>
        <v>1210</v>
      </c>
      <c r="AE42" s="438">
        <f>IF(H42&gt;1119,'DATOS REFERENCIALES'!$C$15,'DATOS REFERENCIALES'!$C$15/1120*H42)</f>
        <v>0</v>
      </c>
      <c r="AF42" s="318">
        <f>'DATOS REFERENCIALES'!$C$11</f>
        <v>320</v>
      </c>
      <c r="AG42" s="319">
        <f>'DATOS REFERENCIALES'!$C$12</f>
        <v>210</v>
      </c>
      <c r="AH42" s="579">
        <f>SUM(AC42:AG42)+SUM(AC43:AG43)</f>
        <v>14595.736525714286</v>
      </c>
      <c r="AI42" s="13"/>
      <c r="AJ42" s="13"/>
      <c r="AK42" s="13"/>
      <c r="AL42" s="18"/>
      <c r="AM42" s="19"/>
      <c r="AN42" s="19"/>
    </row>
    <row r="43" spans="1:42" s="1" customFormat="1" ht="22.5" customHeight="1" thickBot="1" x14ac:dyDescent="0.25">
      <c r="A43" s="471">
        <v>854</v>
      </c>
      <c r="B43" s="456" t="s">
        <v>4</v>
      </c>
      <c r="C43" s="324">
        <f>IF(C42&gt;0,C42,0)</f>
        <v>0</v>
      </c>
      <c r="D43" s="365"/>
      <c r="E43" s="366"/>
      <c r="F43" s="367"/>
      <c r="G43" s="368"/>
      <c r="H43" s="365"/>
      <c r="I43" s="365">
        <v>72</v>
      </c>
      <c r="J43" s="458"/>
      <c r="K43" s="369"/>
      <c r="L43" s="369">
        <f>I43*'DATOS REFERENCIALES'!$C$4</f>
        <v>394.56000000000006</v>
      </c>
      <c r="M43" s="369"/>
      <c r="N43" s="336">
        <f>LOOKUP(C43,'TABLA ANTIG.'!$A$4:$A$39,'TABLA ANTIG.'!$B$4:$B$39)*(L43+M43)</f>
        <v>0</v>
      </c>
      <c r="O43" s="336">
        <f>(L43+M43)*0.1</f>
        <v>39.45600000000001</v>
      </c>
      <c r="P43" s="369"/>
      <c r="Q43" s="336"/>
      <c r="R43" s="333"/>
      <c r="S43" s="336">
        <f>L43+M43+N43+O43+P43+Q43+R43</f>
        <v>434.01600000000008</v>
      </c>
      <c r="T43" s="333">
        <f t="shared" si="20"/>
        <v>47.741760000000006</v>
      </c>
      <c r="U43" s="336">
        <f t="shared" si="21"/>
        <v>13.020480000000001</v>
      </c>
      <c r="V43" s="370">
        <f t="shared" si="21"/>
        <v>13.020480000000001</v>
      </c>
      <c r="W43" s="336">
        <f t="shared" si="22"/>
        <v>8.6803200000000018</v>
      </c>
      <c r="X43" s="336">
        <f t="shared" si="23"/>
        <v>19.530720000000002</v>
      </c>
      <c r="Y43" s="336">
        <f t="shared" si="24"/>
        <v>101.99376000000001</v>
      </c>
      <c r="Z43" s="371">
        <f t="shared" si="25"/>
        <v>332.02224000000007</v>
      </c>
      <c r="AA43" s="336"/>
      <c r="AB43" s="336"/>
      <c r="AC43" s="333">
        <f t="shared" si="26"/>
        <v>332.02224000000007</v>
      </c>
      <c r="AD43" s="571"/>
      <c r="AE43" s="472"/>
      <c r="AF43" s="333"/>
      <c r="AG43" s="336"/>
      <c r="AH43" s="580"/>
      <c r="AI43" s="13"/>
      <c r="AJ43" s="13"/>
      <c r="AK43" s="13"/>
      <c r="AL43" s="18"/>
      <c r="AM43" s="19"/>
      <c r="AN43" s="19"/>
    </row>
    <row r="44" spans="1:42" s="1" customFormat="1" ht="22.5" customHeight="1" x14ac:dyDescent="0.2">
      <c r="A44" s="249">
        <v>577</v>
      </c>
      <c r="B44" s="182" t="s">
        <v>10</v>
      </c>
      <c r="C44" s="139">
        <v>0</v>
      </c>
      <c r="D44" s="213"/>
      <c r="E44" s="251"/>
      <c r="F44" s="213"/>
      <c r="G44" s="245">
        <v>829.75</v>
      </c>
      <c r="H44" s="213">
        <f>SUM(G44:G44)</f>
        <v>829.75</v>
      </c>
      <c r="I44" s="213"/>
      <c r="J44" s="213"/>
      <c r="K44" s="120">
        <f>H44*'DATOS REFERENCIALES'!$C$4</f>
        <v>4547.0300000000007</v>
      </c>
      <c r="L44" s="120"/>
      <c r="M44" s="120"/>
      <c r="N44" s="122">
        <f>LOOKUP(C44,'TABLA ANTIG.'!$A$4:$A$39,'TABLA ANTIG.'!$B$4:$B$39)*(K44)</f>
        <v>0</v>
      </c>
      <c r="O44" s="133">
        <f>K44*0.1</f>
        <v>454.70300000000009</v>
      </c>
      <c r="P44" s="120">
        <f>'DATOS REFERENCIALES'!$C$8</f>
        <v>3640</v>
      </c>
      <c r="Q44" s="122">
        <f>LOOKUP(C44,'TABLA ANTIG.'!$A$4:$A$39,'TABLA ANTIG.'!$B$4:$B$39)*(P44)</f>
        <v>0</v>
      </c>
      <c r="R44" s="253">
        <v>0</v>
      </c>
      <c r="S44" s="133">
        <f>K44+N44+O44+P44+Q44+R44</f>
        <v>8641.7330000000002</v>
      </c>
      <c r="T44" s="239">
        <f t="shared" si="20"/>
        <v>950.59063000000003</v>
      </c>
      <c r="U44" s="133">
        <f t="shared" si="21"/>
        <v>259.25198999999998</v>
      </c>
      <c r="V44" s="133">
        <f t="shared" si="21"/>
        <v>259.25198999999998</v>
      </c>
      <c r="W44" s="133">
        <f t="shared" si="22"/>
        <v>172.83466000000001</v>
      </c>
      <c r="X44" s="133">
        <f t="shared" si="23"/>
        <v>388.87798499999997</v>
      </c>
      <c r="Y44" s="133">
        <f t="shared" si="24"/>
        <v>2030.8072549999997</v>
      </c>
      <c r="Z44" s="122">
        <f t="shared" si="25"/>
        <v>6610.9257450000005</v>
      </c>
      <c r="AA44" s="122">
        <f>'DATOS REFERENCIALES'!$C$10</f>
        <v>1294</v>
      </c>
      <c r="AB44" s="122">
        <f>IF((IF(H44&gt;1119,('DATOS REFERENCIALES'!$C$9-(S44-T44-U44-V44-W44-X44+AA44)),(('DATOS REFERENCIALES'!$C$9/1120)*H44)-(K44+N44+O44+P44+Q44+R44-T44-U44-V44-W44-X44+AA44)))&lt;0,0,IF(H44&gt;1119,(('DATOS REFERENCIALES'!$C$9)-(S44-T44-U44-V44-W44-X44+AA44)),(('DATOS REFERENCIALES'!$C$9/1120)*H44)-(K44+N44+O44+P44+Q44+R44-T44-U44-V44-W44-X44+AA44)))</f>
        <v>2919.6075139285713</v>
      </c>
      <c r="AC44" s="122">
        <f t="shared" si="26"/>
        <v>10824.533258928572</v>
      </c>
      <c r="AD44" s="572">
        <f>'DATOS REFERENCIALES'!$C$13</f>
        <v>1210</v>
      </c>
      <c r="AE44" s="305">
        <f>IF(H44&gt;1119,'DATOS REFERENCIALES'!$C$15,'DATOS REFERENCIALES'!$C$15/1120*H44)</f>
        <v>0</v>
      </c>
      <c r="AF44" s="167">
        <f>'DATOS REFERENCIALES'!$C$11</f>
        <v>320</v>
      </c>
      <c r="AG44" s="170">
        <f>'DATOS REFERENCIALES'!$C$12</f>
        <v>210</v>
      </c>
      <c r="AH44" s="122">
        <f t="shared" ref="AH44:AH46" si="27">SUM(AC44:AG44)</f>
        <v>12564.533258928572</v>
      </c>
      <c r="AI44" s="13"/>
      <c r="AJ44" s="13"/>
      <c r="AK44" s="13"/>
      <c r="AL44" s="18"/>
      <c r="AM44" s="19"/>
      <c r="AN44" s="19"/>
    </row>
    <row r="45" spans="1:42" s="1" customFormat="1" ht="21" customHeight="1" x14ac:dyDescent="0.2">
      <c r="A45" s="250">
        <v>559</v>
      </c>
      <c r="B45" s="115" t="s">
        <v>11</v>
      </c>
      <c r="C45" s="47">
        <v>0</v>
      </c>
      <c r="D45" s="49"/>
      <c r="E45" s="252"/>
      <c r="F45" s="49"/>
      <c r="G45" s="246">
        <v>560</v>
      </c>
      <c r="H45" s="49">
        <f>SUM(G45:G45)</f>
        <v>560</v>
      </c>
      <c r="I45" s="49"/>
      <c r="J45" s="49"/>
      <c r="K45" s="104">
        <f>H45*'DATOS REFERENCIALES'!$C$4</f>
        <v>3068.8</v>
      </c>
      <c r="L45" s="104"/>
      <c r="M45" s="104"/>
      <c r="N45" s="94">
        <f>LOOKUP(C45,'TABLA ANTIG.'!$A$4:$A$39,'TABLA ANTIG.'!$B$4:$B$39)*(K45)</f>
        <v>0</v>
      </c>
      <c r="O45" s="31">
        <f>K45*0.1</f>
        <v>306.88000000000005</v>
      </c>
      <c r="P45" s="120">
        <f>'DATOS REFERENCIALES'!$C$8</f>
        <v>3640</v>
      </c>
      <c r="Q45" s="94">
        <f>LOOKUP(C45,'TABLA ANTIG.'!$A$4:$A$39,'TABLA ANTIG.'!$B$4:$B$39)*(P45)</f>
        <v>0</v>
      </c>
      <c r="R45" s="177">
        <v>0</v>
      </c>
      <c r="S45" s="31">
        <f>K45+N45+O45+P45+Q45+R45</f>
        <v>7015.68</v>
      </c>
      <c r="T45" s="150">
        <f t="shared" si="20"/>
        <v>771.72480000000007</v>
      </c>
      <c r="U45" s="94">
        <f t="shared" si="21"/>
        <v>210.47040000000001</v>
      </c>
      <c r="V45" s="94">
        <f t="shared" si="21"/>
        <v>210.47040000000001</v>
      </c>
      <c r="W45" s="94">
        <f t="shared" si="22"/>
        <v>140.31360000000001</v>
      </c>
      <c r="X45" s="94">
        <f t="shared" si="23"/>
        <v>315.7056</v>
      </c>
      <c r="Y45" s="31">
        <f t="shared" si="24"/>
        <v>1648.6848</v>
      </c>
      <c r="Z45" s="94">
        <f t="shared" si="25"/>
        <v>5366.9952000000003</v>
      </c>
      <c r="AA45" s="94">
        <f>'DATOS REFERENCIALES'!$C$10</f>
        <v>1294</v>
      </c>
      <c r="AB45" s="94">
        <f>IF((IF(H45&gt;1119,('DATOS REFERENCIALES'!$C$9-(S45-T45-U45-V45-W45-X45+AA45)),(('DATOS REFERENCIALES'!$C$9/1120)*H45)-(K45+N45+O45+P45+Q45+R45-T45-U45-V45-W45-X45+AA45)))&lt;0,0,IF(H45&gt;1119,(('DATOS REFERENCIALES'!$C$9)-(S45-T45-U45-V45-W45-X45+AA45)),('DATOS REFERENCIALES'!$L$9)-(K45+N45+O45+P45+Q45+R45-T45-U45-V45-W45-X45+AA45)))</f>
        <v>2486.0048000000006</v>
      </c>
      <c r="AC45" s="94">
        <f t="shared" si="26"/>
        <v>9147</v>
      </c>
      <c r="AD45" s="106">
        <f>'DATOS REFERENCIALES'!$C$13</f>
        <v>1210</v>
      </c>
      <c r="AE45" s="308">
        <f>IF(H45&gt;1119,'DATOS REFERENCIALES'!$C$15,'DATOS REFERENCIALES'!$C$15/1120*H45)</f>
        <v>0</v>
      </c>
      <c r="AF45" s="150">
        <f>'DATOS REFERENCIALES'!$C$11</f>
        <v>320</v>
      </c>
      <c r="AG45" s="168">
        <f>'DATOS REFERENCIALES'!$C$12</f>
        <v>210</v>
      </c>
      <c r="AH45" s="94">
        <f t="shared" si="27"/>
        <v>10887</v>
      </c>
      <c r="AI45" s="13"/>
      <c r="AJ45" s="13"/>
      <c r="AK45" s="13"/>
      <c r="AL45" s="18"/>
      <c r="AM45" s="19"/>
      <c r="AN45" s="19"/>
    </row>
    <row r="46" spans="1:42" s="45" customFormat="1" ht="28.5" customHeight="1" thickBot="1" x14ac:dyDescent="0.25">
      <c r="A46" s="248">
        <v>5568</v>
      </c>
      <c r="B46" s="117" t="s">
        <v>9</v>
      </c>
      <c r="C46" s="69">
        <v>0</v>
      </c>
      <c r="D46" s="28">
        <v>1</v>
      </c>
      <c r="E46" s="235"/>
      <c r="F46" s="69"/>
      <c r="G46" s="237">
        <v>56</v>
      </c>
      <c r="H46" s="69">
        <f>SUM(G46:G46)</f>
        <v>56</v>
      </c>
      <c r="I46" s="69"/>
      <c r="J46" s="69"/>
      <c r="K46" s="105">
        <f>(H46*'DATOS REFERENCIALES'!$C$4)*D46</f>
        <v>306.88</v>
      </c>
      <c r="L46" s="105"/>
      <c r="M46" s="105"/>
      <c r="N46" s="95">
        <f>LOOKUP(C46,'TABLA ANTIG.'!$A$4:$A$39,'TABLA ANTIG.'!$B$4:$B$39)*(K46)</f>
        <v>0</v>
      </c>
      <c r="O46" s="35">
        <f>K46*0.1</f>
        <v>30.688000000000002</v>
      </c>
      <c r="P46" s="105">
        <f>IF(D46&gt;48,'DATOS REFERENCIALES'!$D$8+('DATOS REFERENCIALES'!$F$8*10),IF(D46&lt;39,'DATOS REFERENCIALES'!$E$8*D46,((D46-'DATOS REFERENCIALES'!$I$8)*'DATOS REFERENCIALES'!$F$8)+'DATOS REFERENCIALES'!$D$8))</f>
        <v>191.57</v>
      </c>
      <c r="Q46" s="95">
        <f>LOOKUP(C46,'TABLA ANTIG.'!$A$4:$A$39,'TABLA ANTIG.'!$B$4:$B$39)*(P46)</f>
        <v>0</v>
      </c>
      <c r="R46" s="238">
        <v>0</v>
      </c>
      <c r="S46" s="35">
        <f>K46+N46+O46+P46+Q46+R46</f>
        <v>529.13799999999992</v>
      </c>
      <c r="T46" s="230">
        <f t="shared" si="20"/>
        <v>58.205179999999991</v>
      </c>
      <c r="U46" s="35">
        <f t="shared" si="21"/>
        <v>15.874139999999997</v>
      </c>
      <c r="V46" s="35">
        <f t="shared" si="21"/>
        <v>15.874139999999997</v>
      </c>
      <c r="W46" s="35">
        <f t="shared" si="22"/>
        <v>10.582759999999999</v>
      </c>
      <c r="X46" s="35">
        <f t="shared" si="23"/>
        <v>23.811209999999996</v>
      </c>
      <c r="Y46" s="35">
        <f t="shared" si="24"/>
        <v>124.34742999999997</v>
      </c>
      <c r="Z46" s="95">
        <f t="shared" si="25"/>
        <v>404.79056999999995</v>
      </c>
      <c r="AA46" s="95">
        <f>IF(D46&gt;38,'DATOS REFERENCIALES'!$D$10,'DATOS REFERENCIALES'!$E$10*D46)</f>
        <v>68.105000000000004</v>
      </c>
      <c r="AB46" s="95">
        <f>IF(D46&gt;40,('DATOS REFERENCIALES'!D30-((K46+N46+O46+P46+Q46+R46)-(T46+U46+V46+W46+X46))+AA46),IF((IF(H46&gt;1119,('DATOS REFERENCIALES'!$C$9-(S46-T46-U46-V46-W46-X46+AA46)),('DATOS REFERENCIALES'!$C$9/20*D46)-(((K46+N46+O46+P46+Q46+R46)-(T46+U46+V46+W46+X46)+AA46))))&lt;0,0,IF(H46&gt;1119,(('DATOS REFERENCIALES'!$C$9/20*D46)-(S46-T46-U46-V46-W46-X46+AA46)),('DATOS REFERENCIALES'!$C$9/20*D46)-(K46+N46+O46+P46+Q46+R46-T46-U46-V46-W46-X46+AA46))))</f>
        <v>257.65443000000005</v>
      </c>
      <c r="AC46" s="95">
        <f t="shared" si="26"/>
        <v>730.55</v>
      </c>
      <c r="AD46" s="107">
        <f>IF(D46&gt;30,'DATOS REFERENCIALES'!$D$13,('DATOS REFERENCIALES'!$E$13*D46))</f>
        <v>80.666659999999993</v>
      </c>
      <c r="AE46" s="306">
        <f>IF(D46&gt;'DATOS REFERENCIALES'!$I$15,'DATOS REFERENCIALES'!$D$15,'DATOS REFERENCIALES'!$E$15*D46)</f>
        <v>0</v>
      </c>
      <c r="AF46" s="179">
        <f>IF(D46&gt;'DATOS REFERENCIALES'!$I$11,'DATOS REFERENCIALES'!$D$11,'DATOS REFERENCIALES'!$E$11*D46)</f>
        <v>21.34</v>
      </c>
      <c r="AG46" s="171">
        <f>IF(D46&gt;'DATOS REFERENCIALES'!$I$12,'DATOS REFERENCIALES'!$D$12,'DATOS REFERENCIALES'!$E$12*D46)</f>
        <v>14</v>
      </c>
      <c r="AH46" s="95">
        <f t="shared" si="27"/>
        <v>846.55665999999997</v>
      </c>
      <c r="AI46" s="42"/>
      <c r="AJ46" s="42"/>
      <c r="AK46" s="42"/>
      <c r="AL46" s="43"/>
      <c r="AM46" s="44"/>
      <c r="AN46" s="44"/>
    </row>
  </sheetData>
  <mergeCells count="102">
    <mergeCell ref="Y9:Y10"/>
    <mergeCell ref="AA24:AA25"/>
    <mergeCell ref="Z24:Z25"/>
    <mergeCell ref="AA9:AA10"/>
    <mergeCell ref="Z9:Z10"/>
    <mergeCell ref="T9:X9"/>
    <mergeCell ref="T24:X24"/>
    <mergeCell ref="S9:S10"/>
    <mergeCell ref="S38:S39"/>
    <mergeCell ref="Z38:Z39"/>
    <mergeCell ref="S24:S25"/>
    <mergeCell ref="Y38:Y39"/>
    <mergeCell ref="T38:X38"/>
    <mergeCell ref="AA38:AA39"/>
    <mergeCell ref="Y24:Y25"/>
    <mergeCell ref="AH9:AH10"/>
    <mergeCell ref="AB24:AB25"/>
    <mergeCell ref="AB9:AB10"/>
    <mergeCell ref="AD9:AD10"/>
    <mergeCell ref="AF38:AF39"/>
    <mergeCell ref="AC9:AC10"/>
    <mergeCell ref="AD38:AD39"/>
    <mergeCell ref="AC24:AC25"/>
    <mergeCell ref="AC38:AC39"/>
    <mergeCell ref="AG9:AG10"/>
    <mergeCell ref="AG24:AG25"/>
    <mergeCell ref="AG38:AG39"/>
    <mergeCell ref="AF9:AF10"/>
    <mergeCell ref="AF24:AF25"/>
    <mergeCell ref="AE9:AE10"/>
    <mergeCell ref="AE24:AE25"/>
    <mergeCell ref="AE38:AE39"/>
    <mergeCell ref="AD24:AD25"/>
    <mergeCell ref="P9:P10"/>
    <mergeCell ref="R9:R10"/>
    <mergeCell ref="E9:E10"/>
    <mergeCell ref="F9:F10"/>
    <mergeCell ref="O9:O10"/>
    <mergeCell ref="C9:C10"/>
    <mergeCell ref="H24:H25"/>
    <mergeCell ref="O24:O25"/>
    <mergeCell ref="Q24:Q25"/>
    <mergeCell ref="Q9:Q10"/>
    <mergeCell ref="G9:G10"/>
    <mergeCell ref="D24:D25"/>
    <mergeCell ref="E24:E25"/>
    <mergeCell ref="C24:C25"/>
    <mergeCell ref="G24:G25"/>
    <mergeCell ref="R24:R25"/>
    <mergeCell ref="I9:I10"/>
    <mergeCell ref="J9:J10"/>
    <mergeCell ref="H9:H10"/>
    <mergeCell ref="N9:N10"/>
    <mergeCell ref="K9:K10"/>
    <mergeCell ref="N24:N25"/>
    <mergeCell ref="I24:I25"/>
    <mergeCell ref="J24:J25"/>
    <mergeCell ref="L24:L25"/>
    <mergeCell ref="M24:M25"/>
    <mergeCell ref="B24:B25"/>
    <mergeCell ref="AH40:AH41"/>
    <mergeCell ref="AH42:AH43"/>
    <mergeCell ref="AH11:AH12"/>
    <mergeCell ref="AH13:AH14"/>
    <mergeCell ref="AH15:AH16"/>
    <mergeCell ref="AH26:AH27"/>
    <mergeCell ref="AH28:AH29"/>
    <mergeCell ref="E38:E39"/>
    <mergeCell ref="F38:F39"/>
    <mergeCell ref="O38:O39"/>
    <mergeCell ref="AH38:AH39"/>
    <mergeCell ref="AB38:AB39"/>
    <mergeCell ref="P38:P39"/>
    <mergeCell ref="R38:R39"/>
    <mergeCell ref="G38:G39"/>
    <mergeCell ref="H38:H39"/>
    <mergeCell ref="K24:K25"/>
    <mergeCell ref="K38:K39"/>
    <mergeCell ref="K3:Z5"/>
    <mergeCell ref="A6:AH6"/>
    <mergeCell ref="A7:AH7"/>
    <mergeCell ref="A9:A10"/>
    <mergeCell ref="B9:B10"/>
    <mergeCell ref="Q38:Q39"/>
    <mergeCell ref="I38:I39"/>
    <mergeCell ref="J38:J39"/>
    <mergeCell ref="L38:L39"/>
    <mergeCell ref="M38:M39"/>
    <mergeCell ref="A38:A39"/>
    <mergeCell ref="A24:A25"/>
    <mergeCell ref="B38:B39"/>
    <mergeCell ref="C38:C39"/>
    <mergeCell ref="N38:N39"/>
    <mergeCell ref="D38:D39"/>
    <mergeCell ref="AC8:AH8"/>
    <mergeCell ref="D9:D10"/>
    <mergeCell ref="L9:L10"/>
    <mergeCell ref="P24:P25"/>
    <mergeCell ref="F24:F25"/>
    <mergeCell ref="AH24:AH25"/>
    <mergeCell ref="AH30:AH31"/>
    <mergeCell ref="M9:M10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'DATOS REFERENCIALES'!$C$28:$C$35</xm:f>
          </x14:formula1>
          <xm:sqref>J12 J27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43"/>
  <sheetViews>
    <sheetView zoomScale="66" zoomScaleNormal="66" workbookViewId="0">
      <selection activeCell="B9" sqref="B9:B10"/>
    </sheetView>
  </sheetViews>
  <sheetFormatPr baseColWidth="10" defaultRowHeight="12.75" x14ac:dyDescent="0.2"/>
  <cols>
    <col min="1" max="1" width="11.5703125" bestFit="1" customWidth="1"/>
    <col min="2" max="2" width="48.85546875" customWidth="1"/>
    <col min="3" max="3" width="11.5703125" bestFit="1" customWidth="1"/>
    <col min="5" max="5" width="13" hidden="1" customWidth="1"/>
    <col min="6" max="6" width="0" hidden="1" customWidth="1"/>
    <col min="7" max="7" width="11.5703125" hidden="1" customWidth="1"/>
    <col min="8" max="8" width="11.5703125" bestFit="1" customWidth="1"/>
    <col min="9" max="10" width="14" customWidth="1"/>
    <col min="11" max="11" width="14.85546875" bestFit="1" customWidth="1"/>
    <col min="12" max="12" width="14.7109375" customWidth="1"/>
    <col min="13" max="13" width="14.85546875" customWidth="1"/>
    <col min="14" max="14" width="18" customWidth="1"/>
    <col min="15" max="15" width="18.42578125" customWidth="1"/>
    <col min="16" max="16" width="13.42578125" bestFit="1" customWidth="1"/>
    <col min="17" max="17" width="16.5703125" customWidth="1"/>
    <col min="18" max="18" width="14" customWidth="1"/>
    <col min="19" max="19" width="15.5703125" customWidth="1"/>
    <col min="20" max="20" width="13.7109375" customWidth="1"/>
    <col min="21" max="21" width="13.5703125" customWidth="1"/>
    <col min="22" max="22" width="13.28515625" customWidth="1"/>
    <col min="24" max="24" width="13.42578125" customWidth="1"/>
    <col min="25" max="25" width="14.140625" customWidth="1"/>
    <col min="26" max="26" width="15" customWidth="1"/>
    <col min="27" max="27" width="14.140625" customWidth="1"/>
    <col min="28" max="28" width="14.7109375" customWidth="1"/>
    <col min="29" max="29" width="15.85546875" customWidth="1"/>
    <col min="30" max="30" width="15" customWidth="1"/>
    <col min="31" max="31" width="1.42578125" hidden="1" customWidth="1"/>
    <col min="32" max="32" width="13.85546875" customWidth="1"/>
    <col min="33" max="33" width="14.7109375" customWidth="1"/>
    <col min="34" max="34" width="16" customWidth="1"/>
  </cols>
  <sheetData>
    <row r="1" spans="1:44" s="1" customFormat="1" x14ac:dyDescent="0.2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44" s="1" customFormat="1" x14ac:dyDescent="0.2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44" s="1" customFormat="1" ht="12.75" customHeight="1" x14ac:dyDescent="0.2">
      <c r="A3" s="10"/>
      <c r="C3" s="13"/>
      <c r="D3" s="13"/>
      <c r="E3" s="13"/>
      <c r="F3" s="13"/>
      <c r="G3" s="13"/>
      <c r="H3" s="13"/>
      <c r="I3" s="13"/>
      <c r="J3" s="13"/>
      <c r="K3" s="587" t="s">
        <v>88</v>
      </c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44" s="1" customFormat="1" ht="12.75" customHeight="1" x14ac:dyDescent="0.2">
      <c r="A4" s="10"/>
      <c r="C4" s="13"/>
      <c r="D4" s="13"/>
      <c r="E4" s="13"/>
      <c r="F4" s="13"/>
      <c r="G4" s="13"/>
      <c r="H4" s="13"/>
      <c r="I4" s="13"/>
      <c r="J4" s="13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44" s="1" customFormat="1" ht="12.75" customHeight="1" x14ac:dyDescent="0.2">
      <c r="A5" s="10"/>
      <c r="C5" s="13"/>
      <c r="D5" s="13"/>
      <c r="E5" s="13"/>
      <c r="F5" s="13"/>
      <c r="G5" s="13"/>
      <c r="H5" s="13"/>
      <c r="I5" s="13"/>
      <c r="J5" s="13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44" s="1" customFormat="1" ht="27.75" x14ac:dyDescent="0.4">
      <c r="A6" s="607" t="s">
        <v>185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13"/>
      <c r="AJ6" s="13"/>
      <c r="AK6" s="13"/>
      <c r="AL6" s="13"/>
    </row>
    <row r="7" spans="1:44" s="1" customFormat="1" ht="18.75" thickBot="1" x14ac:dyDescent="0.3">
      <c r="A7" s="641" t="s">
        <v>89</v>
      </c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2"/>
      <c r="AC7" s="642"/>
      <c r="AD7" s="642"/>
      <c r="AE7" s="642"/>
      <c r="AF7" s="642"/>
      <c r="AG7" s="642"/>
      <c r="AH7" s="642"/>
      <c r="AI7" s="13"/>
      <c r="AJ7" s="13"/>
      <c r="AK7" s="13"/>
      <c r="AL7" s="13"/>
    </row>
    <row r="8" spans="1:44" ht="21" customHeight="1" thickBot="1" x14ac:dyDescent="0.35">
      <c r="A8" s="643" t="s">
        <v>138</v>
      </c>
      <c r="B8" s="644"/>
      <c r="C8" s="644"/>
      <c r="D8" s="644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636" t="s">
        <v>138</v>
      </c>
      <c r="AC8" s="637"/>
      <c r="AD8" s="637"/>
      <c r="AE8" s="637"/>
      <c r="AF8" s="637"/>
      <c r="AG8" s="637"/>
      <c r="AH8" s="637"/>
    </row>
    <row r="9" spans="1:44" s="2" customFormat="1" ht="20.25" customHeight="1" thickBot="1" x14ac:dyDescent="0.25">
      <c r="A9" s="623" t="s">
        <v>1</v>
      </c>
      <c r="B9" s="623" t="s">
        <v>0</v>
      </c>
      <c r="C9" s="585" t="s">
        <v>83</v>
      </c>
      <c r="D9" s="585" t="s">
        <v>126</v>
      </c>
      <c r="E9" s="585" t="s">
        <v>134</v>
      </c>
      <c r="F9" s="585" t="s">
        <v>120</v>
      </c>
      <c r="G9" s="585" t="s">
        <v>109</v>
      </c>
      <c r="H9" s="585" t="s">
        <v>85</v>
      </c>
      <c r="I9" s="585" t="s">
        <v>156</v>
      </c>
      <c r="J9" s="602" t="s">
        <v>155</v>
      </c>
      <c r="K9" s="602" t="s">
        <v>128</v>
      </c>
      <c r="L9" s="602" t="s">
        <v>154</v>
      </c>
      <c r="M9" s="602" t="s">
        <v>155</v>
      </c>
      <c r="N9" s="596" t="s">
        <v>91</v>
      </c>
      <c r="O9" s="596" t="s">
        <v>127</v>
      </c>
      <c r="P9" s="611" t="s">
        <v>92</v>
      </c>
      <c r="Q9" s="596" t="s">
        <v>108</v>
      </c>
      <c r="R9" s="596" t="s">
        <v>90</v>
      </c>
      <c r="S9" s="596" t="s">
        <v>74</v>
      </c>
      <c r="T9" s="638" t="s">
        <v>63</v>
      </c>
      <c r="U9" s="639"/>
      <c r="V9" s="639"/>
      <c r="W9" s="639"/>
      <c r="X9" s="640"/>
      <c r="Y9" s="596" t="s">
        <v>73</v>
      </c>
      <c r="Z9" s="585" t="s">
        <v>95</v>
      </c>
      <c r="AA9" s="585" t="s">
        <v>94</v>
      </c>
      <c r="AB9" s="585" t="s">
        <v>93</v>
      </c>
      <c r="AC9" s="585" t="s">
        <v>97</v>
      </c>
      <c r="AD9" s="585" t="s">
        <v>96</v>
      </c>
      <c r="AE9" s="585" t="s">
        <v>182</v>
      </c>
      <c r="AF9" s="585" t="s">
        <v>184</v>
      </c>
      <c r="AG9" s="618" t="s">
        <v>183</v>
      </c>
      <c r="AH9" s="585" t="s">
        <v>98</v>
      </c>
      <c r="AI9" s="17"/>
      <c r="AJ9" s="17"/>
      <c r="AK9" s="17"/>
      <c r="AL9" s="18"/>
      <c r="AM9" s="19"/>
      <c r="AN9" s="19"/>
    </row>
    <row r="10" spans="1:44" s="2" customFormat="1" ht="89.25" customHeight="1" thickBot="1" x14ac:dyDescent="0.25">
      <c r="A10" s="624"/>
      <c r="B10" s="624"/>
      <c r="C10" s="586"/>
      <c r="D10" s="586"/>
      <c r="E10" s="586"/>
      <c r="F10" s="586"/>
      <c r="G10" s="586"/>
      <c r="H10" s="586"/>
      <c r="I10" s="586"/>
      <c r="J10" s="603"/>
      <c r="K10" s="603"/>
      <c r="L10" s="603"/>
      <c r="M10" s="603"/>
      <c r="N10" s="597"/>
      <c r="O10" s="597"/>
      <c r="P10" s="612"/>
      <c r="Q10" s="597"/>
      <c r="R10" s="597"/>
      <c r="S10" s="597"/>
      <c r="T10" s="92" t="s">
        <v>148</v>
      </c>
      <c r="U10" s="92" t="s">
        <v>65</v>
      </c>
      <c r="V10" s="92" t="s">
        <v>66</v>
      </c>
      <c r="W10" s="92" t="s">
        <v>67</v>
      </c>
      <c r="X10" s="92" t="s">
        <v>68</v>
      </c>
      <c r="Y10" s="597"/>
      <c r="Z10" s="586"/>
      <c r="AA10" s="586"/>
      <c r="AB10" s="586"/>
      <c r="AC10" s="586"/>
      <c r="AD10" s="586"/>
      <c r="AE10" s="586"/>
      <c r="AF10" s="586"/>
      <c r="AG10" s="586"/>
      <c r="AH10" s="586"/>
      <c r="AI10" s="17"/>
      <c r="AJ10" s="17"/>
      <c r="AK10" s="17"/>
      <c r="AL10" s="18"/>
      <c r="AM10" s="19"/>
      <c r="AN10" s="19"/>
    </row>
    <row r="11" spans="1:44" s="1" customFormat="1" ht="21.75" customHeight="1" x14ac:dyDescent="0.2">
      <c r="A11" s="374">
        <v>505</v>
      </c>
      <c r="B11" s="473" t="s">
        <v>47</v>
      </c>
      <c r="C11" s="374">
        <v>0</v>
      </c>
      <c r="D11" s="374"/>
      <c r="E11" s="375"/>
      <c r="F11" s="376"/>
      <c r="G11" s="474">
        <v>3125</v>
      </c>
      <c r="H11" s="475">
        <f t="shared" ref="H11:H42" si="0">SUM(G11:G11)</f>
        <v>3125</v>
      </c>
      <c r="I11" s="476"/>
      <c r="J11" s="476"/>
      <c r="K11" s="379">
        <f>H11*'DATOS REFERENCIALES'!$C$4</f>
        <v>17125</v>
      </c>
      <c r="L11" s="379"/>
      <c r="M11" s="379"/>
      <c r="N11" s="381">
        <f>LOOKUP(C11,'TABLA ANTIG.'!$A$4:$A$39,'TABLA ANTIG.'!$B$4:$B$39)*(K11)</f>
        <v>0</v>
      </c>
      <c r="O11" s="381">
        <f t="shared" ref="O11:O42" si="1">K11*0.1</f>
        <v>1712.5</v>
      </c>
      <c r="P11" s="379">
        <f>'DATOS REFERENCIALES'!$D$8</f>
        <v>7280</v>
      </c>
      <c r="Q11" s="385">
        <f>LOOKUP(C11,'TABLA ANTIG.'!$A$4:$A$39,'TABLA ANTIG.'!$B$4:$B$39)*(P11)</f>
        <v>0</v>
      </c>
      <c r="R11" s="381">
        <f t="shared" ref="R11:R42" si="2">(K11+P11)*0.15</f>
        <v>3660.75</v>
      </c>
      <c r="S11" s="381">
        <f t="shared" ref="S11:S42" si="3">K11+N11+O11+P11+Q11+R11</f>
        <v>29778.25</v>
      </c>
      <c r="T11" s="381">
        <f t="shared" ref="T11:T42" si="4">$S11*11%</f>
        <v>3275.6075000000001</v>
      </c>
      <c r="U11" s="381">
        <f t="shared" ref="U11:V42" si="5">$S11*3%</f>
        <v>893.34749999999997</v>
      </c>
      <c r="V11" s="381">
        <f t="shared" si="5"/>
        <v>893.34749999999997</v>
      </c>
      <c r="W11" s="381">
        <f t="shared" ref="W11:W42" si="6">$S11*2%</f>
        <v>595.56500000000005</v>
      </c>
      <c r="X11" s="381">
        <f t="shared" ref="X11:X42" si="7">$S11*4.5%</f>
        <v>1340.02125</v>
      </c>
      <c r="Y11" s="381">
        <f t="shared" ref="Y11:Y42" si="8">SUM(T11:X11)</f>
        <v>6997.8887500000001</v>
      </c>
      <c r="Z11" s="384">
        <f t="shared" ref="Z11:Z42" si="9">S11-Y11</f>
        <v>22780.361250000002</v>
      </c>
      <c r="AA11" s="406">
        <f>'DATOS REFERENCIALES'!$D$10</f>
        <v>2588</v>
      </c>
      <c r="AB11" s="381">
        <f>IF((IF(H11&gt;2240,('DATOS REFERENCIALES'!$D$9-(S11-T11-U11-V11-W11-X11+AA11)),(('DATOS REFERENCIALES'!$D$9/2240)*2240)-(K11+N11+O11+P11+Q11+R11-T11-U11-V11-W11-X11+AA11)))&lt;0,0,IF(2240&gt;2240,(('DATOS REFERENCIALES'!$D$9)-(S11-T11-U11-V11-W11-X11+AA11)),(('DATOS REFERENCIALES'!$D$9/2240)*2240)-(K11+N11+O11+P11+Q11+R11-T11-U11-V11-W11-X11+AA11)))</f>
        <v>3853.6387499999983</v>
      </c>
      <c r="AC11" s="381">
        <f t="shared" ref="AC11:AC42" si="10">SUM(Z11:AB11)</f>
        <v>29222</v>
      </c>
      <c r="AD11" s="386">
        <f>'DATOS REFERENCIALES'!$D$13</f>
        <v>2420</v>
      </c>
      <c r="AE11" s="408">
        <f>IF(H11&gt;2043,'DATOS REFERENCIALES'!$D$15,'DATOS REFERENCIALES'!$D$15/2043*H11)</f>
        <v>0</v>
      </c>
      <c r="AF11" s="385">
        <f>'DATOS REFERENCIALES'!$D$11</f>
        <v>640</v>
      </c>
      <c r="AG11" s="381">
        <f>'DATOS REFERENCIALES'!$D$12</f>
        <v>420</v>
      </c>
      <c r="AH11" s="583">
        <f>SUM(AC11:AG11)+SUM(AC12:AG12)</f>
        <v>34912.756670000002</v>
      </c>
      <c r="AI11" s="13"/>
      <c r="AJ11" s="13"/>
      <c r="AK11" s="13"/>
      <c r="AL11" s="18"/>
      <c r="AM11" s="19"/>
      <c r="AN11" s="19"/>
      <c r="AR11" s="8"/>
    </row>
    <row r="12" spans="1:44" s="1" customFormat="1" ht="22.5" customHeight="1" thickBot="1" x14ac:dyDescent="0.25">
      <c r="A12" s="389">
        <v>505</v>
      </c>
      <c r="B12" s="477" t="s">
        <v>47</v>
      </c>
      <c r="C12" s="389">
        <f>IF(C11&gt;0,C11,0)</f>
        <v>0</v>
      </c>
      <c r="D12" s="478"/>
      <c r="E12" s="479"/>
      <c r="F12" s="480"/>
      <c r="G12" s="481"/>
      <c r="H12" s="482"/>
      <c r="I12" s="478">
        <v>234.38</v>
      </c>
      <c r="J12" s="393" t="s">
        <v>179</v>
      </c>
      <c r="K12" s="483"/>
      <c r="L12" s="483">
        <f>I12*'DATOS REFERENCIALES'!$C$4</f>
        <v>1284.4024000000002</v>
      </c>
      <c r="M12" s="483">
        <f>IF(J12='DATOS REFERENCIALES'!$C$36,K11*'DATOS REFERENCIALES'!$D$36,IF(J12='DATOS REFERENCIALES'!$C$37,('DATOS REFERENCIALES'!$D$37*K11),IF(J12='DATOS REFERENCIALES'!$C$38,('DATOS REFERENCIALES'!$D$38*K11),0)))</f>
        <v>1027.5</v>
      </c>
      <c r="N12" s="484">
        <f>LOOKUP(C12,'TABLA ANTIG.'!$A$4:$A$39,'TABLA ANTIG.'!$B$4:$B$39)*(L12+M12)</f>
        <v>0</v>
      </c>
      <c r="O12" s="484">
        <f>(L12+M12)*0.1</f>
        <v>231.19024000000002</v>
      </c>
      <c r="P12" s="483"/>
      <c r="Q12" s="484"/>
      <c r="R12" s="484">
        <f>(L12+M12)*0.15</f>
        <v>346.78535999999997</v>
      </c>
      <c r="S12" s="484">
        <f>L12+M12+N12+O12+P12+Q12+R12</f>
        <v>2889.8779999999997</v>
      </c>
      <c r="T12" s="485">
        <f t="shared" si="4"/>
        <v>317.88657999999998</v>
      </c>
      <c r="U12" s="484">
        <f t="shared" si="5"/>
        <v>86.696339999999992</v>
      </c>
      <c r="V12" s="485">
        <f t="shared" si="5"/>
        <v>86.696339999999992</v>
      </c>
      <c r="W12" s="484">
        <f>$S12*2%</f>
        <v>57.797559999999997</v>
      </c>
      <c r="X12" s="484">
        <f t="shared" si="7"/>
        <v>130.04450999999997</v>
      </c>
      <c r="Y12" s="484">
        <f t="shared" si="8"/>
        <v>679.12132999999983</v>
      </c>
      <c r="Z12" s="486">
        <f t="shared" si="9"/>
        <v>2210.7566699999998</v>
      </c>
      <c r="AA12" s="484"/>
      <c r="AB12" s="484"/>
      <c r="AC12" s="487">
        <f t="shared" si="10"/>
        <v>2210.7566699999998</v>
      </c>
      <c r="AD12" s="575"/>
      <c r="AE12" s="488"/>
      <c r="AF12" s="487"/>
      <c r="AG12" s="484"/>
      <c r="AH12" s="584"/>
      <c r="AI12" s="13"/>
      <c r="AJ12" s="13"/>
      <c r="AK12" s="13"/>
      <c r="AL12" s="18"/>
      <c r="AM12" s="19"/>
      <c r="AN12" s="19"/>
      <c r="AR12" s="8"/>
    </row>
    <row r="13" spans="1:44" s="1" customFormat="1" ht="25.5" customHeight="1" x14ac:dyDescent="0.2">
      <c r="A13" s="312">
        <v>551</v>
      </c>
      <c r="B13" s="498" t="s">
        <v>48</v>
      </c>
      <c r="C13" s="312">
        <v>0</v>
      </c>
      <c r="D13" s="312"/>
      <c r="E13" s="362"/>
      <c r="F13" s="363"/>
      <c r="G13" s="499">
        <v>2667</v>
      </c>
      <c r="H13" s="500">
        <f t="shared" si="0"/>
        <v>2667</v>
      </c>
      <c r="I13" s="501"/>
      <c r="J13" s="501"/>
      <c r="K13" s="314">
        <f>H13*'DATOS REFERENCIALES'!$C$4</f>
        <v>14615.160000000002</v>
      </c>
      <c r="L13" s="314"/>
      <c r="M13" s="314"/>
      <c r="N13" s="316">
        <f>LOOKUP(C13,'TABLA ANTIG.'!$A$4:$A$39,'TABLA ANTIG.'!$B$4:$B$39)*(K13)</f>
        <v>0</v>
      </c>
      <c r="O13" s="316">
        <f t="shared" si="1"/>
        <v>1461.5160000000003</v>
      </c>
      <c r="P13" s="314">
        <f>'DATOS REFERENCIALES'!$D$8</f>
        <v>7280</v>
      </c>
      <c r="Q13" s="318">
        <f>LOOKUP(C13,'TABLA ANTIG.'!$A$4:$A$39,'TABLA ANTIG.'!$B$4:$B$39)*(P13)</f>
        <v>0</v>
      </c>
      <c r="R13" s="316">
        <f t="shared" si="2"/>
        <v>3284.2740000000003</v>
      </c>
      <c r="S13" s="316">
        <f t="shared" si="3"/>
        <v>26640.95</v>
      </c>
      <c r="T13" s="316">
        <f t="shared" si="4"/>
        <v>2930.5045</v>
      </c>
      <c r="U13" s="316">
        <f t="shared" si="5"/>
        <v>799.22849999999994</v>
      </c>
      <c r="V13" s="316">
        <f t="shared" si="5"/>
        <v>799.22849999999994</v>
      </c>
      <c r="W13" s="316">
        <f t="shared" si="6"/>
        <v>532.81900000000007</v>
      </c>
      <c r="X13" s="316">
        <f t="shared" si="7"/>
        <v>1198.84275</v>
      </c>
      <c r="Y13" s="316">
        <f t="shared" si="8"/>
        <v>6260.6232500000006</v>
      </c>
      <c r="Z13" s="319">
        <f t="shared" si="9"/>
        <v>20380.32675</v>
      </c>
      <c r="AA13" s="436">
        <f>'DATOS REFERENCIALES'!$D$10</f>
        <v>2588</v>
      </c>
      <c r="AB13" s="316">
        <f>IF((IF(H13&gt;2240,('DATOS REFERENCIALES'!$D$9-(S13-T13-U13-V13-W13-X13+AA13)),(('DATOS REFERENCIALES'!$D$9/2240)*2240)-(K13+N13+O13+P13+Q13+R13-T13-U13-V13-W13-X13+AA13)))&lt;0,0,IF(2240&gt;2240,(('DATOS REFERENCIALES'!$D$9)-(S13-T13-U13-V13-W13-X13+AA13)),(('DATOS REFERENCIALES'!$D$9/2240)*2240)-(K13+N13+O13+P13+Q13+R13-T13-U13-V13-W13-X13+AA13)))</f>
        <v>6253.6732499999998</v>
      </c>
      <c r="AC13" s="316">
        <f t="shared" si="10"/>
        <v>29222</v>
      </c>
      <c r="AD13" s="321">
        <f>'DATOS REFERENCIALES'!$D$13</f>
        <v>2420</v>
      </c>
      <c r="AE13" s="438">
        <f>IF(H13&gt;2043,'DATOS REFERENCIALES'!$D$15,'DATOS REFERENCIALES'!$D$15/2043*H13)</f>
        <v>0</v>
      </c>
      <c r="AF13" s="318">
        <f>'DATOS REFERENCIALES'!$D$11</f>
        <v>640</v>
      </c>
      <c r="AG13" s="316">
        <f>'DATOS REFERENCIALES'!$D$12</f>
        <v>420</v>
      </c>
      <c r="AH13" s="579">
        <f>SUM(AC13:AG13)+SUM(AC14:AG14)</f>
        <v>33750.207207500003</v>
      </c>
      <c r="AI13" s="13"/>
      <c r="AJ13" s="13"/>
      <c r="AK13" s="13"/>
      <c r="AL13" s="18"/>
      <c r="AM13" s="19"/>
      <c r="AN13" s="19"/>
      <c r="AR13" s="8"/>
    </row>
    <row r="14" spans="1:44" s="1" customFormat="1" ht="21.75" customHeight="1" thickBot="1" x14ac:dyDescent="0.25">
      <c r="A14" s="365">
        <v>551</v>
      </c>
      <c r="B14" s="502" t="s">
        <v>48</v>
      </c>
      <c r="C14" s="324">
        <f>IF(C13&gt;0,C13,0)</f>
        <v>0</v>
      </c>
      <c r="D14" s="365"/>
      <c r="E14" s="366"/>
      <c r="F14" s="367"/>
      <c r="G14" s="503"/>
      <c r="H14" s="504"/>
      <c r="I14" s="365">
        <v>200.03</v>
      </c>
      <c r="J14" s="505"/>
      <c r="K14" s="369"/>
      <c r="L14" s="369">
        <f>I14*'DATOS REFERENCIALES'!$C$4</f>
        <v>1096.1644000000001</v>
      </c>
      <c r="M14" s="369"/>
      <c r="N14" s="336">
        <f>LOOKUP(C14,'TABLA ANTIG.'!$A$4:$A$39,'TABLA ANTIG.'!$B$4:$B$39)*(L14+M14)</f>
        <v>0</v>
      </c>
      <c r="O14" s="336">
        <f>(L14+M14)*0.1</f>
        <v>109.61644000000001</v>
      </c>
      <c r="P14" s="369"/>
      <c r="Q14" s="336"/>
      <c r="R14" s="330">
        <f>(L14+M14)*0.15</f>
        <v>164.42466000000002</v>
      </c>
      <c r="S14" s="336">
        <f>L14+M14+N14+O14+P14+Q14+R14</f>
        <v>1370.2055</v>
      </c>
      <c r="T14" s="370">
        <f t="shared" si="4"/>
        <v>150.72260500000002</v>
      </c>
      <c r="U14" s="336">
        <f t="shared" si="5"/>
        <v>41.106164999999997</v>
      </c>
      <c r="V14" s="370">
        <f t="shared" si="5"/>
        <v>41.106164999999997</v>
      </c>
      <c r="W14" s="336">
        <f>$S14*2%</f>
        <v>27.404110000000003</v>
      </c>
      <c r="X14" s="336">
        <f t="shared" si="7"/>
        <v>61.659247499999999</v>
      </c>
      <c r="Y14" s="336">
        <f t="shared" si="8"/>
        <v>321.99829250000005</v>
      </c>
      <c r="Z14" s="371">
        <f t="shared" si="9"/>
        <v>1048.2072075000001</v>
      </c>
      <c r="AA14" s="336"/>
      <c r="AB14" s="336"/>
      <c r="AC14" s="333">
        <f t="shared" si="10"/>
        <v>1048.2072075000001</v>
      </c>
      <c r="AD14" s="571"/>
      <c r="AE14" s="444"/>
      <c r="AF14" s="333"/>
      <c r="AG14" s="336"/>
      <c r="AH14" s="580"/>
      <c r="AI14" s="13"/>
      <c r="AJ14" s="13"/>
      <c r="AK14" s="13"/>
      <c r="AL14" s="18"/>
      <c r="AM14" s="19"/>
      <c r="AN14" s="19"/>
      <c r="AR14" s="8"/>
    </row>
    <row r="15" spans="1:44" s="7" customFormat="1" ht="21.75" customHeight="1" x14ac:dyDescent="0.2">
      <c r="A15" s="506">
        <v>849</v>
      </c>
      <c r="B15" s="507" t="s">
        <v>84</v>
      </c>
      <c r="C15" s="339">
        <v>0</v>
      </c>
      <c r="D15" s="339"/>
      <c r="E15" s="416"/>
      <c r="F15" s="417"/>
      <c r="G15" s="490">
        <v>2359</v>
      </c>
      <c r="H15" s="491">
        <f t="shared" si="0"/>
        <v>2359</v>
      </c>
      <c r="I15" s="492"/>
      <c r="J15" s="492"/>
      <c r="K15" s="341">
        <f>H15*'DATOS REFERENCIALES'!$C$4</f>
        <v>12927.320000000002</v>
      </c>
      <c r="L15" s="341"/>
      <c r="M15" s="341"/>
      <c r="N15" s="343">
        <f>LOOKUP(C15,'TABLA ANTIG.'!$A$4:$A$39,'TABLA ANTIG.'!$B$4:$B$39)*(K15)</f>
        <v>0</v>
      </c>
      <c r="O15" s="343">
        <f t="shared" si="1"/>
        <v>1292.7320000000002</v>
      </c>
      <c r="P15" s="341">
        <f>'DATOS REFERENCIALES'!$D$8</f>
        <v>7280</v>
      </c>
      <c r="Q15" s="347">
        <f>LOOKUP(C15,'TABLA ANTIG.'!$A$4:$A$39,'TABLA ANTIG.'!$B$4:$B$39)*(P15)</f>
        <v>0</v>
      </c>
      <c r="R15" s="343">
        <f t="shared" si="2"/>
        <v>3031.098</v>
      </c>
      <c r="S15" s="343">
        <f t="shared" si="3"/>
        <v>24531.15</v>
      </c>
      <c r="T15" s="343">
        <f t="shared" si="4"/>
        <v>2698.4265</v>
      </c>
      <c r="U15" s="343">
        <f t="shared" si="5"/>
        <v>735.93450000000007</v>
      </c>
      <c r="V15" s="343">
        <f t="shared" si="5"/>
        <v>735.93450000000007</v>
      </c>
      <c r="W15" s="343">
        <f t="shared" si="6"/>
        <v>490.62300000000005</v>
      </c>
      <c r="X15" s="343">
        <f t="shared" si="7"/>
        <v>1103.90175</v>
      </c>
      <c r="Y15" s="343">
        <f t="shared" si="8"/>
        <v>5764.8202499999998</v>
      </c>
      <c r="Z15" s="345">
        <f t="shared" si="9"/>
        <v>18766.329750000001</v>
      </c>
      <c r="AA15" s="419">
        <f>'DATOS REFERENCIALES'!$D$10</f>
        <v>2588</v>
      </c>
      <c r="AB15" s="343">
        <f>IF((IF(H15&gt;2240,('DATOS REFERENCIALES'!$D$9-(S15-T15-U15-V15-W15-X15+AA15)),(('DATOS REFERENCIALES'!$D$9/2240)*2240)-(K15+N15+O15+P15+Q15+R15-T15-U15-V15-W15-X15+AA15)))&lt;0,0,IF(2240&gt;2240,(('DATOS REFERENCIALES'!$D$9)-(S15-T15-U15-V15-W15-X15+AA15)),(('DATOS REFERENCIALES'!$D$9/2240)*2240)-(K15+N15+O15+P15+Q15+R15-T15-U15-V15-W15-X15+AA15)))</f>
        <v>7867.6702499999992</v>
      </c>
      <c r="AC15" s="343">
        <f t="shared" si="10"/>
        <v>29222</v>
      </c>
      <c r="AD15" s="348">
        <f>'DATOS REFERENCIALES'!$D$13</f>
        <v>2420</v>
      </c>
      <c r="AE15" s="421">
        <f>IF(H15&gt;2043,'DATOS REFERENCIALES'!$D$15,'DATOS REFERENCIALES'!$D$15/2043*H15)</f>
        <v>0</v>
      </c>
      <c r="AF15" s="347">
        <f>'DATOS REFERENCIALES'!$D$11</f>
        <v>640</v>
      </c>
      <c r="AG15" s="343">
        <f>'DATOS REFERENCIALES'!$D$12</f>
        <v>420</v>
      </c>
      <c r="AH15" s="581">
        <f>SUM(AC15:AG15)+SUM(AC16:AG16)</f>
        <v>33629.157432500004</v>
      </c>
      <c r="AI15" s="16"/>
      <c r="AJ15" s="16"/>
      <c r="AK15" s="16"/>
      <c r="AL15" s="20"/>
      <c r="AM15" s="19"/>
      <c r="AN15" s="19"/>
      <c r="AR15" s="8"/>
    </row>
    <row r="16" spans="1:44" s="7" customFormat="1" ht="21.75" customHeight="1" thickBot="1" x14ac:dyDescent="0.25">
      <c r="A16" s="508">
        <v>849</v>
      </c>
      <c r="B16" s="509" t="s">
        <v>84</v>
      </c>
      <c r="C16" s="351">
        <f>IF(C15&gt;0,C15,0)</f>
        <v>0</v>
      </c>
      <c r="D16" s="351"/>
      <c r="E16" s="423"/>
      <c r="F16" s="424"/>
      <c r="G16" s="494"/>
      <c r="H16" s="495"/>
      <c r="I16" s="351">
        <v>176.93</v>
      </c>
      <c r="J16" s="496"/>
      <c r="K16" s="353"/>
      <c r="L16" s="353">
        <f>I16*'DATOS REFERENCIALES'!$C$4</f>
        <v>969.57640000000015</v>
      </c>
      <c r="M16" s="353"/>
      <c r="N16" s="357">
        <f>LOOKUP(C16,'TABLA ANTIG.'!$A$4:$A$39,'TABLA ANTIG.'!$B$4:$B$39)*(L16+M16)</f>
        <v>0</v>
      </c>
      <c r="O16" s="357">
        <f>(L16+M16)*0.1</f>
        <v>96.957640000000026</v>
      </c>
      <c r="P16" s="353"/>
      <c r="Q16" s="357"/>
      <c r="R16" s="497">
        <f>(L16+M16)*0.15</f>
        <v>145.43646000000001</v>
      </c>
      <c r="S16" s="357">
        <f>L16+M16+N16+O16+P16+Q16+R16</f>
        <v>1211.9705000000004</v>
      </c>
      <c r="T16" s="358">
        <f t="shared" si="4"/>
        <v>133.31675500000003</v>
      </c>
      <c r="U16" s="357">
        <f t="shared" si="5"/>
        <v>36.35911500000001</v>
      </c>
      <c r="V16" s="358">
        <f t="shared" si="5"/>
        <v>36.35911500000001</v>
      </c>
      <c r="W16" s="357">
        <f>$S16*2%</f>
        <v>24.239410000000007</v>
      </c>
      <c r="X16" s="357">
        <f t="shared" si="7"/>
        <v>54.538672500000011</v>
      </c>
      <c r="Y16" s="357">
        <f t="shared" si="8"/>
        <v>284.81306750000005</v>
      </c>
      <c r="Z16" s="360">
        <f t="shared" si="9"/>
        <v>927.15743250000037</v>
      </c>
      <c r="AA16" s="357"/>
      <c r="AB16" s="357"/>
      <c r="AC16" s="359">
        <f t="shared" si="10"/>
        <v>927.15743250000037</v>
      </c>
      <c r="AD16" s="361"/>
      <c r="AE16" s="428"/>
      <c r="AF16" s="359"/>
      <c r="AG16" s="357"/>
      <c r="AH16" s="582"/>
      <c r="AI16" s="16"/>
      <c r="AJ16" s="16"/>
      <c r="AK16" s="16"/>
      <c r="AL16" s="20"/>
      <c r="AM16" s="19"/>
      <c r="AN16" s="19"/>
      <c r="AR16" s="8"/>
    </row>
    <row r="17" spans="1:252" s="1" customFormat="1" ht="21.75" customHeight="1" x14ac:dyDescent="0.2">
      <c r="A17" s="374">
        <v>516</v>
      </c>
      <c r="B17" s="473" t="s">
        <v>49</v>
      </c>
      <c r="C17" s="374">
        <v>0</v>
      </c>
      <c r="D17" s="374"/>
      <c r="E17" s="375"/>
      <c r="F17" s="376"/>
      <c r="G17" s="474">
        <v>1783</v>
      </c>
      <c r="H17" s="475">
        <f t="shared" si="0"/>
        <v>1783</v>
      </c>
      <c r="I17" s="476"/>
      <c r="J17" s="476"/>
      <c r="K17" s="379">
        <f>H17*'DATOS REFERENCIALES'!$C$4</f>
        <v>9770.84</v>
      </c>
      <c r="L17" s="379"/>
      <c r="M17" s="379"/>
      <c r="N17" s="381">
        <f>LOOKUP(C17,'TABLA ANTIG.'!$A$4:$A$39,'TABLA ANTIG.'!$B$4:$B$39)*(K17)</f>
        <v>0</v>
      </c>
      <c r="O17" s="381">
        <f t="shared" si="1"/>
        <v>977.08400000000006</v>
      </c>
      <c r="P17" s="379">
        <f>'DATOS REFERENCIALES'!$C$8</f>
        <v>3640</v>
      </c>
      <c r="Q17" s="385">
        <f>LOOKUP(C17,'TABLA ANTIG.'!$A$4:$A$39,'TABLA ANTIG.'!$B$4:$B$39)*(P17)</f>
        <v>0</v>
      </c>
      <c r="R17" s="381">
        <f t="shared" si="2"/>
        <v>2011.626</v>
      </c>
      <c r="S17" s="381">
        <f t="shared" si="3"/>
        <v>16399.55</v>
      </c>
      <c r="T17" s="381">
        <f t="shared" si="4"/>
        <v>1803.9504999999999</v>
      </c>
      <c r="U17" s="381">
        <f t="shared" si="5"/>
        <v>491.98649999999998</v>
      </c>
      <c r="V17" s="381">
        <f t="shared" si="5"/>
        <v>491.98649999999998</v>
      </c>
      <c r="W17" s="381">
        <f t="shared" si="6"/>
        <v>327.99099999999999</v>
      </c>
      <c r="X17" s="381">
        <f t="shared" si="7"/>
        <v>737.97974999999997</v>
      </c>
      <c r="Y17" s="381">
        <f t="shared" si="8"/>
        <v>3853.8942499999998</v>
      </c>
      <c r="Z17" s="384">
        <f t="shared" si="9"/>
        <v>12545.65575</v>
      </c>
      <c r="AA17" s="381">
        <f>'DATOS REFERENCIALES'!$C$10</f>
        <v>1294</v>
      </c>
      <c r="AB17" s="381">
        <f>IF((IF(H17&gt;1119,('DATOS REFERENCIALES'!$C$9-(S17-T17-U17-V17-W17-X17+AA17)),(('DATOS REFERENCIALES'!$C$9/1120)*H17)-(K17+N17+O17+P17+Q17+R17-T17-U17-V17-W17-X17+AA17)))&lt;0,0,IF(H17&gt;1119,(('DATOS REFERENCIALES'!$C$9)-(S17-T17-U17-V17-W17-X17+AA17)),(('DATOS REFERENCIALES'!$C$9/1120)*H17)-(K17+N17+O17+P17+Q17+R17-T17-U17-V17-W17-X17+AA17)))</f>
        <v>771.34424999999828</v>
      </c>
      <c r="AC17" s="381">
        <f t="shared" si="10"/>
        <v>14610.999999999998</v>
      </c>
      <c r="AD17" s="386">
        <f>'DATOS REFERENCIALES'!$C$13</f>
        <v>1210</v>
      </c>
      <c r="AE17" s="408">
        <f>IF(H17&gt;1119,'DATOS REFERENCIALES'!$C$15,'DATOS REFERENCIALES'!$C$15/1120*H17)</f>
        <v>0</v>
      </c>
      <c r="AF17" s="385">
        <f>'DATOS REFERENCIALES'!$C$11</f>
        <v>320</v>
      </c>
      <c r="AG17" s="381">
        <f>'DATOS REFERENCIALES'!$C$12</f>
        <v>210</v>
      </c>
      <c r="AH17" s="583">
        <f>SUM(AC17:AG17)+SUM(AC18:AG18)</f>
        <v>17612.3805775</v>
      </c>
      <c r="AI17" s="13"/>
      <c r="AJ17" s="13"/>
      <c r="AK17" s="13"/>
      <c r="AL17" s="18"/>
      <c r="AM17" s="19"/>
      <c r="AN17" s="19"/>
      <c r="AR17" s="8"/>
    </row>
    <row r="18" spans="1:252" s="1" customFormat="1" ht="33" customHeight="1" thickBot="1" x14ac:dyDescent="0.25">
      <c r="A18" s="389">
        <v>516</v>
      </c>
      <c r="B18" s="477" t="s">
        <v>49</v>
      </c>
      <c r="C18" s="389">
        <f>IF(C17&gt;0,C17,0)</f>
        <v>0</v>
      </c>
      <c r="D18" s="389"/>
      <c r="E18" s="390"/>
      <c r="F18" s="391"/>
      <c r="G18" s="510"/>
      <c r="H18" s="511"/>
      <c r="I18" s="389">
        <v>133.72999999999999</v>
      </c>
      <c r="J18" s="393" t="s">
        <v>179</v>
      </c>
      <c r="K18" s="394"/>
      <c r="L18" s="394">
        <f>I18*'DATOS REFERENCIALES'!$C$4</f>
        <v>732.84040000000005</v>
      </c>
      <c r="M18" s="483">
        <f>IF(J18='DATOS REFERENCIALES'!$C$36,K17*'DATOS REFERENCIALES'!$D$36,IF(J18='DATOS REFERENCIALES'!$C$37,('DATOS REFERENCIALES'!$D$37*K17),IF(J18='DATOS REFERENCIALES'!$C$38,('DATOS REFERENCIALES'!$D$38*K17),0)))</f>
        <v>586.25040000000001</v>
      </c>
      <c r="N18" s="396">
        <f>LOOKUP(C18,'TABLA ANTIG.'!$A$4:$A$39,'TABLA ANTIG.'!$B$4:$B$39)*(L18+M18)</f>
        <v>0</v>
      </c>
      <c r="O18" s="396">
        <f>(L18+M18)*0.1</f>
        <v>131.90907999999999</v>
      </c>
      <c r="P18" s="394"/>
      <c r="Q18" s="396"/>
      <c r="R18" s="484">
        <f>(L18+M18)*0.15</f>
        <v>197.86362</v>
      </c>
      <c r="S18" s="396">
        <f>L18+M18+N18+O18+P18+Q18+R18</f>
        <v>1648.8634999999999</v>
      </c>
      <c r="T18" s="399">
        <f t="shared" si="4"/>
        <v>181.37498499999998</v>
      </c>
      <c r="U18" s="396">
        <f t="shared" si="5"/>
        <v>49.465904999999999</v>
      </c>
      <c r="V18" s="399">
        <f t="shared" si="5"/>
        <v>49.465904999999999</v>
      </c>
      <c r="W18" s="396">
        <f>$S18*2%</f>
        <v>32.977269999999997</v>
      </c>
      <c r="X18" s="396">
        <f t="shared" si="7"/>
        <v>74.198857499999988</v>
      </c>
      <c r="Y18" s="396">
        <f t="shared" si="8"/>
        <v>387.48292249999992</v>
      </c>
      <c r="Z18" s="400">
        <f t="shared" si="9"/>
        <v>1261.3805775000001</v>
      </c>
      <c r="AA18" s="396"/>
      <c r="AB18" s="396"/>
      <c r="AC18" s="395">
        <f t="shared" si="10"/>
        <v>1261.3805775000001</v>
      </c>
      <c r="AD18" s="401"/>
      <c r="AE18" s="414"/>
      <c r="AF18" s="395"/>
      <c r="AG18" s="396"/>
      <c r="AH18" s="584"/>
      <c r="AI18" s="13"/>
      <c r="AJ18" s="13"/>
      <c r="AK18" s="13"/>
      <c r="AL18" s="18"/>
      <c r="AM18" s="19"/>
      <c r="AN18" s="19"/>
      <c r="AR18" s="8"/>
    </row>
    <row r="19" spans="1:252" s="1" customFormat="1" ht="21.75" customHeight="1" x14ac:dyDescent="0.2">
      <c r="A19" s="312">
        <v>576</v>
      </c>
      <c r="B19" s="498" t="s">
        <v>50</v>
      </c>
      <c r="C19" s="312">
        <v>0</v>
      </c>
      <c r="D19" s="312"/>
      <c r="E19" s="362"/>
      <c r="F19" s="363"/>
      <c r="G19" s="499">
        <v>1545</v>
      </c>
      <c r="H19" s="500">
        <f t="shared" si="0"/>
        <v>1545</v>
      </c>
      <c r="I19" s="501"/>
      <c r="J19" s="501"/>
      <c r="K19" s="314">
        <f>H19*'DATOS REFERENCIALES'!$C$4</f>
        <v>8466.6</v>
      </c>
      <c r="L19" s="314"/>
      <c r="M19" s="314"/>
      <c r="N19" s="316">
        <f>LOOKUP(C19,'TABLA ANTIG.'!$A$4:$A$39,'TABLA ANTIG.'!$B$4:$B$39)*(K19)</f>
        <v>0</v>
      </c>
      <c r="O19" s="316">
        <f t="shared" si="1"/>
        <v>846.66000000000008</v>
      </c>
      <c r="P19" s="314">
        <f>'DATOS REFERENCIALES'!$C$8</f>
        <v>3640</v>
      </c>
      <c r="Q19" s="318">
        <f>LOOKUP(C19,'TABLA ANTIG.'!$A$4:$A$39,'TABLA ANTIG.'!$B$4:$B$39)*(P19)</f>
        <v>0</v>
      </c>
      <c r="R19" s="316">
        <f t="shared" si="2"/>
        <v>1815.99</v>
      </c>
      <c r="S19" s="316">
        <f t="shared" si="3"/>
        <v>14769.25</v>
      </c>
      <c r="T19" s="316">
        <f t="shared" si="4"/>
        <v>1624.6175000000001</v>
      </c>
      <c r="U19" s="316">
        <f t="shared" si="5"/>
        <v>443.07749999999999</v>
      </c>
      <c r="V19" s="316">
        <f t="shared" si="5"/>
        <v>443.07749999999999</v>
      </c>
      <c r="W19" s="316">
        <f t="shared" si="6"/>
        <v>295.38499999999999</v>
      </c>
      <c r="X19" s="316">
        <f t="shared" si="7"/>
        <v>664.61624999999992</v>
      </c>
      <c r="Y19" s="316">
        <f t="shared" si="8"/>
        <v>3470.7737500000003</v>
      </c>
      <c r="Z19" s="319">
        <f t="shared" si="9"/>
        <v>11298.47625</v>
      </c>
      <c r="AA19" s="316">
        <f>'DATOS REFERENCIALES'!$C$10</f>
        <v>1294</v>
      </c>
      <c r="AB19" s="316">
        <f>IF((IF(H19&gt;1119,('DATOS REFERENCIALES'!$C$9-(S19-T19-U19-V19-W19-X19+AA19)),(('DATOS REFERENCIALES'!$C$9/1120)*H19)-(K19+N19+O19+P19+Q19+R19-T19-U19-V19-W19-X19+AA19)))&lt;0,0,IF(H19&gt;1119,(('DATOS REFERENCIALES'!$C$9)-(S19-T19-U19-V19-W19-X19+AA19)),(('DATOS REFERENCIALES'!$C$9/1120)*H19)-(K19+N19+O19+P19+Q19+R19-T19-U19-V19-W19-X19+AA19)))</f>
        <v>2018.5237499999985</v>
      </c>
      <c r="AC19" s="316">
        <f t="shared" si="10"/>
        <v>14610.999999999998</v>
      </c>
      <c r="AD19" s="321">
        <f>'DATOS REFERENCIALES'!$C$13</f>
        <v>1210</v>
      </c>
      <c r="AE19" s="438">
        <f>IF(H19&gt;1119,'DATOS REFERENCIALES'!$C$15,'DATOS REFERENCIALES'!$C$15/1120*H19)</f>
        <v>0</v>
      </c>
      <c r="AF19" s="318">
        <f>'DATOS REFERENCIALES'!$C$11</f>
        <v>320</v>
      </c>
      <c r="AG19" s="316">
        <f>'DATOS REFERENCIALES'!$C$12</f>
        <v>210</v>
      </c>
      <c r="AH19" s="579">
        <f>SUM(AC19:AG19)+SUM(AC20:AG20)</f>
        <v>16958.240169999997</v>
      </c>
      <c r="AI19" s="13"/>
      <c r="AJ19" s="13"/>
      <c r="AK19" s="13"/>
      <c r="AL19" s="18"/>
      <c r="AM19" s="19"/>
      <c r="AN19" s="19"/>
      <c r="AR19" s="8"/>
    </row>
    <row r="20" spans="1:252" s="1" customFormat="1" ht="21.75" customHeight="1" thickBot="1" x14ac:dyDescent="0.25">
      <c r="A20" s="365">
        <v>576</v>
      </c>
      <c r="B20" s="502" t="s">
        <v>50</v>
      </c>
      <c r="C20" s="324">
        <f>IF(C19&gt;0,C19,0)</f>
        <v>0</v>
      </c>
      <c r="D20" s="365"/>
      <c r="E20" s="366"/>
      <c r="F20" s="367"/>
      <c r="G20" s="503"/>
      <c r="H20" s="504"/>
      <c r="I20" s="365">
        <v>115.88</v>
      </c>
      <c r="J20" s="505"/>
      <c r="K20" s="369"/>
      <c r="L20" s="369">
        <f>I20*'DATOS REFERENCIALES'!$C$4</f>
        <v>635.02240000000006</v>
      </c>
      <c r="M20" s="369"/>
      <c r="N20" s="336">
        <f>LOOKUP(C20,'TABLA ANTIG.'!$A$4:$A$39,'TABLA ANTIG.'!$B$4:$B$39)*(L20+M20)</f>
        <v>0</v>
      </c>
      <c r="O20" s="336">
        <f>(L20+M20)*0.1</f>
        <v>63.502240000000008</v>
      </c>
      <c r="P20" s="369"/>
      <c r="Q20" s="336"/>
      <c r="R20" s="336">
        <f>(L20+M20)*0.15</f>
        <v>95.253360000000001</v>
      </c>
      <c r="S20" s="336">
        <f>L20+M20+N20+O20+P20+Q20+R20</f>
        <v>793.77800000000013</v>
      </c>
      <c r="T20" s="370">
        <f t="shared" si="4"/>
        <v>87.315580000000011</v>
      </c>
      <c r="U20" s="336">
        <f t="shared" si="5"/>
        <v>23.813340000000004</v>
      </c>
      <c r="V20" s="370">
        <f t="shared" si="5"/>
        <v>23.813340000000004</v>
      </c>
      <c r="W20" s="336">
        <f>$S20*2%</f>
        <v>15.875560000000004</v>
      </c>
      <c r="X20" s="336">
        <f t="shared" si="7"/>
        <v>35.720010000000002</v>
      </c>
      <c r="Y20" s="336">
        <f t="shared" si="8"/>
        <v>186.53783000000004</v>
      </c>
      <c r="Z20" s="371">
        <f t="shared" si="9"/>
        <v>607.24017000000003</v>
      </c>
      <c r="AA20" s="336"/>
      <c r="AB20" s="336"/>
      <c r="AC20" s="333">
        <f t="shared" si="10"/>
        <v>607.24017000000003</v>
      </c>
      <c r="AD20" s="571"/>
      <c r="AE20" s="444"/>
      <c r="AF20" s="333"/>
      <c r="AG20" s="336"/>
      <c r="AH20" s="580"/>
      <c r="AI20" s="13"/>
      <c r="AJ20" s="13"/>
      <c r="AK20" s="13"/>
      <c r="AL20" s="18"/>
      <c r="AM20" s="19"/>
      <c r="AN20" s="19"/>
      <c r="AR20" s="8"/>
    </row>
    <row r="21" spans="1:252" s="1" customFormat="1" ht="21.75" customHeight="1" thickBot="1" x14ac:dyDescent="0.25">
      <c r="A21" s="213">
        <v>539</v>
      </c>
      <c r="B21" s="254" t="s">
        <v>57</v>
      </c>
      <c r="C21" s="213">
        <v>0</v>
      </c>
      <c r="D21" s="213"/>
      <c r="E21" s="264"/>
      <c r="F21" s="256"/>
      <c r="G21" s="257">
        <v>1120</v>
      </c>
      <c r="H21" s="265">
        <f t="shared" si="0"/>
        <v>1120</v>
      </c>
      <c r="I21" s="142"/>
      <c r="J21" s="142"/>
      <c r="K21" s="244">
        <f>H21*'DATOS REFERENCIALES'!$C$4</f>
        <v>6137.6</v>
      </c>
      <c r="L21" s="244"/>
      <c r="M21" s="244"/>
      <c r="N21" s="225">
        <f>LOOKUP(C21,'TABLA ANTIG.'!$A$4:$A$39,'TABLA ANTIG.'!$B$4:$B$39)*(K21)</f>
        <v>0</v>
      </c>
      <c r="O21" s="226">
        <f t="shared" si="1"/>
        <v>613.7600000000001</v>
      </c>
      <c r="P21" s="244">
        <f>'DATOS REFERENCIALES'!$C$8</f>
        <v>3640</v>
      </c>
      <c r="Q21" s="258">
        <f>LOOKUP(C21,'TABLA ANTIG.'!$A$4:$A$39,'TABLA ANTIG.'!$B$4:$B$39)*(P21)</f>
        <v>0</v>
      </c>
      <c r="R21" s="226">
        <f t="shared" si="2"/>
        <v>1466.64</v>
      </c>
      <c r="S21" s="226">
        <f t="shared" si="3"/>
        <v>11858</v>
      </c>
      <c r="T21" s="225">
        <f t="shared" si="4"/>
        <v>1304.3800000000001</v>
      </c>
      <c r="U21" s="225">
        <f t="shared" si="5"/>
        <v>355.74</v>
      </c>
      <c r="V21" s="225">
        <f t="shared" si="5"/>
        <v>355.74</v>
      </c>
      <c r="W21" s="225">
        <f t="shared" si="6"/>
        <v>237.16</v>
      </c>
      <c r="X21" s="225">
        <f t="shared" si="7"/>
        <v>533.61</v>
      </c>
      <c r="Y21" s="226">
        <f t="shared" si="8"/>
        <v>2786.63</v>
      </c>
      <c r="Z21" s="259">
        <f t="shared" si="9"/>
        <v>9071.369999999999</v>
      </c>
      <c r="AA21" s="225">
        <f>'DATOS REFERENCIALES'!$C$10</f>
        <v>1294</v>
      </c>
      <c r="AB21" s="225">
        <f>IF((IF(H21&gt;1119,('DATOS REFERENCIALES'!$C$9-(S21-T21-U21-V21-W21-X21+AA21)),(('DATOS REFERENCIALES'!$C$9/1120)*H21)-(K21+N21+O21+P21+Q21+R21-T21-U21-V21-W21-X21+AA21)))&lt;0,0,IF(H21&gt;1119,(('DATOS REFERENCIALES'!$C$9)-(S21-T21-U21-V21-W21-X21+AA21)),(('DATOS REFERENCIALES'!$C$9/1120)*H21)-(K21+N21+O21+P21+Q21+R21-T21-U21-V21-W21-X21+AA21)))</f>
        <v>4245.630000000001</v>
      </c>
      <c r="AC21" s="225">
        <f t="shared" si="10"/>
        <v>14611</v>
      </c>
      <c r="AD21" s="576">
        <f>'DATOS REFERENCIALES'!$C$13</f>
        <v>1210</v>
      </c>
      <c r="AE21" s="305">
        <f>IF(H21&gt;1119,'DATOS REFERENCIALES'!$C$15,'DATOS REFERENCIALES'!$C$15/1120*H21)</f>
        <v>0</v>
      </c>
      <c r="AF21" s="258">
        <f>'DATOS REFERENCIALES'!$C$11</f>
        <v>320</v>
      </c>
      <c r="AG21" s="225">
        <f>'DATOS REFERENCIALES'!$C$12</f>
        <v>210</v>
      </c>
      <c r="AH21" s="225">
        <f t="shared" ref="AH21:AH42" si="11">SUM(AC21:AG21)</f>
        <v>16351</v>
      </c>
      <c r="AI21" s="13"/>
      <c r="AJ21" s="13"/>
      <c r="AK21" s="13"/>
      <c r="AL21" s="18"/>
      <c r="AM21" s="19"/>
      <c r="AN21" s="19"/>
      <c r="AR21" s="8"/>
    </row>
    <row r="22" spans="1:252" s="1" customFormat="1" ht="21.75" customHeight="1" x14ac:dyDescent="0.2">
      <c r="A22" s="339">
        <v>558</v>
      </c>
      <c r="B22" s="489" t="s">
        <v>4</v>
      </c>
      <c r="C22" s="339">
        <v>0</v>
      </c>
      <c r="D22" s="339"/>
      <c r="E22" s="416"/>
      <c r="F22" s="417"/>
      <c r="G22" s="490">
        <v>1307</v>
      </c>
      <c r="H22" s="491">
        <f t="shared" si="0"/>
        <v>1307</v>
      </c>
      <c r="I22" s="492"/>
      <c r="J22" s="492"/>
      <c r="K22" s="341">
        <f>H22*'DATOS REFERENCIALES'!$C$4</f>
        <v>7162.3600000000006</v>
      </c>
      <c r="L22" s="341"/>
      <c r="M22" s="341"/>
      <c r="N22" s="343">
        <f>LOOKUP(C22,'TABLA ANTIG.'!$A$4:$A$39,'TABLA ANTIG.'!$B$4:$B$39)*(K22)</f>
        <v>0</v>
      </c>
      <c r="O22" s="343">
        <f t="shared" si="1"/>
        <v>716.2360000000001</v>
      </c>
      <c r="P22" s="341">
        <f>'DATOS REFERENCIALES'!$C$8</f>
        <v>3640</v>
      </c>
      <c r="Q22" s="347">
        <f>LOOKUP(C22,'TABLA ANTIG.'!$A$4:$A$39,'TABLA ANTIG.'!$B$4:$B$39)*(P22)</f>
        <v>0</v>
      </c>
      <c r="R22" s="343">
        <f t="shared" si="2"/>
        <v>1620.354</v>
      </c>
      <c r="S22" s="343">
        <f t="shared" si="3"/>
        <v>13138.95</v>
      </c>
      <c r="T22" s="343">
        <f t="shared" si="4"/>
        <v>1445.2845</v>
      </c>
      <c r="U22" s="343">
        <f t="shared" si="5"/>
        <v>394.16849999999999</v>
      </c>
      <c r="V22" s="343">
        <f t="shared" si="5"/>
        <v>394.16849999999999</v>
      </c>
      <c r="W22" s="343">
        <f t="shared" si="6"/>
        <v>262.779</v>
      </c>
      <c r="X22" s="343">
        <f t="shared" si="7"/>
        <v>591.25274999999999</v>
      </c>
      <c r="Y22" s="343">
        <f t="shared" si="8"/>
        <v>3087.6532500000003</v>
      </c>
      <c r="Z22" s="345">
        <f t="shared" si="9"/>
        <v>10051.296750000001</v>
      </c>
      <c r="AA22" s="343">
        <f>'DATOS REFERENCIALES'!$C$10</f>
        <v>1294</v>
      </c>
      <c r="AB22" s="343">
        <f>IF((IF(H22&gt;1119,('DATOS REFERENCIALES'!$C$9-(S22-T22-U22-V22-W22-X22+AA22)),(('DATOS REFERENCIALES'!$C$9/1120)*H22)-(K22+N22+O22+P22+Q22+R22-T22-U22-V22-W22-X22+AA22)))&lt;0,0,IF(H22&gt;1119,(('DATOS REFERENCIALES'!$C$9)-(S22-T22-U22-V22-W22-X22+AA22)),(('DATOS REFERENCIALES'!$C$9/1120)*H22)-(K22+N22+O22+P22+Q22+R22-T22-U22-V22-W22-X22+AA22)))</f>
        <v>3265.7032499999987</v>
      </c>
      <c r="AC22" s="343">
        <f t="shared" si="10"/>
        <v>14611</v>
      </c>
      <c r="AD22" s="348">
        <f>'DATOS REFERENCIALES'!$C$13</f>
        <v>1210</v>
      </c>
      <c r="AE22" s="421">
        <f>IF(H22&gt;1119,'DATOS REFERENCIALES'!$C$15,'DATOS REFERENCIALES'!$C$15/1120*H22)</f>
        <v>0</v>
      </c>
      <c r="AF22" s="347">
        <f>'DATOS REFERENCIALES'!$C$11</f>
        <v>320</v>
      </c>
      <c r="AG22" s="343">
        <f>'DATOS REFERENCIALES'!$C$12</f>
        <v>210</v>
      </c>
      <c r="AH22" s="581">
        <f>SUM(AC22:AG22)+SUM(AC23:AG23)</f>
        <v>16864.7017075</v>
      </c>
      <c r="AI22" s="13"/>
      <c r="AJ22" s="13"/>
      <c r="AK22" s="13"/>
      <c r="AL22" s="18"/>
      <c r="AM22" s="19"/>
      <c r="AN22" s="19"/>
      <c r="AR22" s="8"/>
    </row>
    <row r="23" spans="1:252" s="1" customFormat="1" ht="21.75" customHeight="1" thickBot="1" x14ac:dyDescent="0.25">
      <c r="A23" s="351">
        <v>558</v>
      </c>
      <c r="B23" s="493" t="s">
        <v>4</v>
      </c>
      <c r="C23" s="351">
        <f>IF(C22&gt;0,C22,0)</f>
        <v>0</v>
      </c>
      <c r="D23" s="351"/>
      <c r="E23" s="423"/>
      <c r="F23" s="424"/>
      <c r="G23" s="494"/>
      <c r="H23" s="495"/>
      <c r="I23" s="351">
        <v>98.03</v>
      </c>
      <c r="J23" s="496"/>
      <c r="K23" s="353"/>
      <c r="L23" s="353">
        <f>I23*'DATOS REFERENCIALES'!$C$4</f>
        <v>537.20440000000008</v>
      </c>
      <c r="M23" s="353"/>
      <c r="N23" s="357">
        <f>LOOKUP(C23,'TABLA ANTIG.'!$A$4:$A$39,'TABLA ANTIG.'!$B$4:$B$39)*(L23+M23)</f>
        <v>0</v>
      </c>
      <c r="O23" s="357">
        <f>(L23+M23)*0.1</f>
        <v>53.720440000000011</v>
      </c>
      <c r="P23" s="353"/>
      <c r="Q23" s="357"/>
      <c r="R23" s="357">
        <f>(L23+M23)*0.15</f>
        <v>80.580660000000009</v>
      </c>
      <c r="S23" s="357">
        <f>L23+M23+N23+O23+P23+Q23+R23</f>
        <v>671.5055000000001</v>
      </c>
      <c r="T23" s="358">
        <f t="shared" si="4"/>
        <v>73.865605000000016</v>
      </c>
      <c r="U23" s="357">
        <f t="shared" si="5"/>
        <v>20.145165000000002</v>
      </c>
      <c r="V23" s="358">
        <f t="shared" si="5"/>
        <v>20.145165000000002</v>
      </c>
      <c r="W23" s="357">
        <f>$S23*2%</f>
        <v>13.430110000000003</v>
      </c>
      <c r="X23" s="357">
        <f t="shared" si="7"/>
        <v>30.217747500000002</v>
      </c>
      <c r="Y23" s="357">
        <f t="shared" si="8"/>
        <v>157.80379250000004</v>
      </c>
      <c r="Z23" s="360">
        <f t="shared" si="9"/>
        <v>513.70170750000011</v>
      </c>
      <c r="AA23" s="357"/>
      <c r="AB23" s="357"/>
      <c r="AC23" s="359">
        <f t="shared" si="10"/>
        <v>513.70170750000011</v>
      </c>
      <c r="AD23" s="361"/>
      <c r="AE23" s="428"/>
      <c r="AF23" s="359"/>
      <c r="AG23" s="357"/>
      <c r="AH23" s="582"/>
      <c r="AI23" s="13"/>
      <c r="AJ23" s="13"/>
      <c r="AK23" s="13"/>
      <c r="AL23" s="18"/>
      <c r="AM23" s="19"/>
      <c r="AN23" s="19"/>
      <c r="AR23" s="8"/>
    </row>
    <row r="24" spans="1:252" s="1" customFormat="1" ht="21.75" customHeight="1" x14ac:dyDescent="0.2">
      <c r="A24" s="139">
        <v>540</v>
      </c>
      <c r="B24" s="260" t="s">
        <v>12</v>
      </c>
      <c r="C24" s="199">
        <v>0</v>
      </c>
      <c r="D24" s="213"/>
      <c r="E24" s="56"/>
      <c r="F24" s="77"/>
      <c r="G24" s="78">
        <v>1120</v>
      </c>
      <c r="H24" s="142">
        <f t="shared" si="0"/>
        <v>1120</v>
      </c>
      <c r="I24" s="142"/>
      <c r="J24" s="142"/>
      <c r="K24" s="120">
        <f>H24*'DATOS REFERENCIALES'!$C$4</f>
        <v>6137.6</v>
      </c>
      <c r="L24" s="120"/>
      <c r="M24" s="120"/>
      <c r="N24" s="122">
        <f>LOOKUP(C24,'TABLA ANTIG.'!$A$4:$A$39,'TABLA ANTIG.'!$B$4:$B$39)*(K24)</f>
        <v>0</v>
      </c>
      <c r="O24" s="166">
        <f t="shared" si="1"/>
        <v>613.7600000000001</v>
      </c>
      <c r="P24" s="120">
        <f>'DATOS REFERENCIALES'!$C$8</f>
        <v>3640</v>
      </c>
      <c r="Q24" s="167">
        <f>LOOKUP(C24,'TABLA ANTIG.'!$A$4:$A$39,'TABLA ANTIG.'!$B$4:$B$39)*(P24)</f>
        <v>0</v>
      </c>
      <c r="R24" s="133">
        <f t="shared" si="2"/>
        <v>1466.64</v>
      </c>
      <c r="S24" s="133">
        <f t="shared" si="3"/>
        <v>11858</v>
      </c>
      <c r="T24" s="122">
        <f t="shared" si="4"/>
        <v>1304.3800000000001</v>
      </c>
      <c r="U24" s="122">
        <f t="shared" si="5"/>
        <v>355.74</v>
      </c>
      <c r="V24" s="122">
        <f t="shared" si="5"/>
        <v>355.74</v>
      </c>
      <c r="W24" s="122">
        <f t="shared" si="6"/>
        <v>237.16</v>
      </c>
      <c r="X24" s="122">
        <f t="shared" si="7"/>
        <v>533.61</v>
      </c>
      <c r="Y24" s="133">
        <f t="shared" si="8"/>
        <v>2786.63</v>
      </c>
      <c r="Z24" s="170">
        <f t="shared" si="9"/>
        <v>9071.369999999999</v>
      </c>
      <c r="AA24" s="122">
        <f>'DATOS REFERENCIALES'!$C$10</f>
        <v>1294</v>
      </c>
      <c r="AB24" s="122">
        <f>IF((IF(H24&gt;1119,('DATOS REFERENCIALES'!$C$9-(S24-T24-U24-V24-W24-X24+AA24)),(('DATOS REFERENCIALES'!$C$9/1120)*H24)-(K24+N24+O24+P24+Q24+R24-T24-U24-V24-W24-X24+AA24)))&lt;0,0,IF(H24&gt;1119,(('DATOS REFERENCIALES'!$C$9)-(S24-T24-U24-V24-W24-X24+AA24)),(('DATOS REFERENCIALES'!$C$9/1120)*H24)-(K24+N24+O24+P24+Q24+R24-T24-U24-V24-W24-X24+AA24)))</f>
        <v>4245.630000000001</v>
      </c>
      <c r="AC24" s="122">
        <f t="shared" si="10"/>
        <v>14611</v>
      </c>
      <c r="AD24" s="572">
        <f>'DATOS REFERENCIALES'!$C$13</f>
        <v>1210</v>
      </c>
      <c r="AE24" s="305">
        <f>IF(H24&gt;1119,'DATOS REFERENCIALES'!$C$15,'DATOS REFERENCIALES'!$C$15/1120*H24)</f>
        <v>0</v>
      </c>
      <c r="AF24" s="167">
        <f>'DATOS REFERENCIALES'!$C$11</f>
        <v>320</v>
      </c>
      <c r="AG24" s="122">
        <f>'DATOS REFERENCIALES'!$C$12</f>
        <v>210</v>
      </c>
      <c r="AH24" s="122">
        <f t="shared" si="11"/>
        <v>16351</v>
      </c>
      <c r="AI24" s="13"/>
      <c r="AJ24" s="13"/>
      <c r="AK24" s="13"/>
      <c r="AL24" s="18"/>
      <c r="AM24" s="19"/>
      <c r="AN24" s="19"/>
      <c r="AR24" s="8"/>
    </row>
    <row r="25" spans="1:252" s="1" customFormat="1" ht="21.75" customHeight="1" x14ac:dyDescent="0.2">
      <c r="A25" s="47">
        <v>541</v>
      </c>
      <c r="B25" s="261" t="s">
        <v>13</v>
      </c>
      <c r="C25" s="46">
        <v>0</v>
      </c>
      <c r="D25" s="49"/>
      <c r="E25" s="200"/>
      <c r="F25" s="68"/>
      <c r="G25" s="76">
        <v>1120</v>
      </c>
      <c r="H25" s="60">
        <f t="shared" si="0"/>
        <v>1120</v>
      </c>
      <c r="I25" s="60"/>
      <c r="J25" s="60"/>
      <c r="K25" s="104">
        <f>H25*'DATOS REFERENCIALES'!$C$4</f>
        <v>6137.6</v>
      </c>
      <c r="L25" s="104"/>
      <c r="M25" s="104"/>
      <c r="N25" s="94">
        <f>LOOKUP(C25,'TABLA ANTIG.'!$A$4:$A$39,'TABLA ANTIG.'!$B$4:$B$39)*(K25)</f>
        <v>0</v>
      </c>
      <c r="O25" s="113">
        <f t="shared" si="1"/>
        <v>613.7600000000001</v>
      </c>
      <c r="P25" s="104">
        <f>'DATOS REFERENCIALES'!$C$8</f>
        <v>3640</v>
      </c>
      <c r="Q25" s="150">
        <f>LOOKUP(C25,'TABLA ANTIG.'!$A$4:$A$39,'TABLA ANTIG.'!$B$4:$B$39)*(P25)</f>
        <v>0</v>
      </c>
      <c r="R25" s="31">
        <f t="shared" si="2"/>
        <v>1466.64</v>
      </c>
      <c r="S25" s="31">
        <f t="shared" si="3"/>
        <v>11858</v>
      </c>
      <c r="T25" s="94">
        <f t="shared" si="4"/>
        <v>1304.3800000000001</v>
      </c>
      <c r="U25" s="94">
        <f t="shared" si="5"/>
        <v>355.74</v>
      </c>
      <c r="V25" s="94">
        <f t="shared" si="5"/>
        <v>355.74</v>
      </c>
      <c r="W25" s="94">
        <f t="shared" si="6"/>
        <v>237.16</v>
      </c>
      <c r="X25" s="94">
        <f t="shared" si="7"/>
        <v>533.61</v>
      </c>
      <c r="Y25" s="31">
        <f t="shared" si="8"/>
        <v>2786.63</v>
      </c>
      <c r="Z25" s="168">
        <f t="shared" si="9"/>
        <v>9071.369999999999</v>
      </c>
      <c r="AA25" s="94">
        <f>'DATOS REFERENCIALES'!$C$10</f>
        <v>1294</v>
      </c>
      <c r="AB25" s="94">
        <f>IF((IF(H25&gt;1119,('DATOS REFERENCIALES'!$C$9-(S25-T25-U25-V25-W25-X25+AA25)),(('DATOS REFERENCIALES'!$C$9/1120)*H25)-(K25+N25+O25+P25+Q25+R25-T25-U25-V25-W25-X25+AA25)))&lt;0,0,IF(H25&gt;1119,(('DATOS REFERENCIALES'!$C$9)-(S25-T25-U25-V25-W25-X25+AA25)),(('DATOS REFERENCIALES'!$C$9/1120)*H25)-(K25+N25+O25+P25+Q25+R25-T25-U25-V25-W25-X25+AA25)))</f>
        <v>4245.630000000001</v>
      </c>
      <c r="AC25" s="94">
        <f t="shared" si="10"/>
        <v>14611</v>
      </c>
      <c r="AD25" s="106">
        <f>'DATOS REFERENCIALES'!$C$13</f>
        <v>1210</v>
      </c>
      <c r="AE25" s="308">
        <f>IF(H25&gt;1119,'DATOS REFERENCIALES'!$C$15,'DATOS REFERENCIALES'!$C$15/1120*H25)</f>
        <v>0</v>
      </c>
      <c r="AF25" s="150">
        <f>'DATOS REFERENCIALES'!$C$11</f>
        <v>320</v>
      </c>
      <c r="AG25" s="94">
        <f>'DATOS REFERENCIALES'!$C$12</f>
        <v>210</v>
      </c>
      <c r="AH25" s="122">
        <f t="shared" si="11"/>
        <v>16351</v>
      </c>
      <c r="AI25" s="13"/>
      <c r="AJ25" s="13"/>
      <c r="AK25" s="13"/>
      <c r="AL25" s="18"/>
      <c r="AM25" s="19"/>
      <c r="AN25" s="19"/>
      <c r="AR25" s="8"/>
    </row>
    <row r="26" spans="1:252" s="1" customFormat="1" ht="21.75" customHeight="1" x14ac:dyDescent="0.2">
      <c r="A26" s="47">
        <v>850</v>
      </c>
      <c r="B26" s="261" t="s">
        <v>14</v>
      </c>
      <c r="C26" s="46">
        <v>0</v>
      </c>
      <c r="D26" s="49"/>
      <c r="E26" s="200"/>
      <c r="F26" s="68"/>
      <c r="G26" s="76">
        <v>1120</v>
      </c>
      <c r="H26" s="60">
        <f t="shared" si="0"/>
        <v>1120</v>
      </c>
      <c r="I26" s="60"/>
      <c r="J26" s="60"/>
      <c r="K26" s="104">
        <f>H26*'DATOS REFERENCIALES'!$C$4</f>
        <v>6137.6</v>
      </c>
      <c r="L26" s="104"/>
      <c r="M26" s="104"/>
      <c r="N26" s="94">
        <f>LOOKUP(C26,'TABLA ANTIG.'!$A$4:$A$39,'TABLA ANTIG.'!$B$4:$B$39)*(K26)</f>
        <v>0</v>
      </c>
      <c r="O26" s="113">
        <f t="shared" si="1"/>
        <v>613.7600000000001</v>
      </c>
      <c r="P26" s="104">
        <f>'DATOS REFERENCIALES'!$C$8</f>
        <v>3640</v>
      </c>
      <c r="Q26" s="150">
        <f>LOOKUP(C26,'TABLA ANTIG.'!$A$4:$A$39,'TABLA ANTIG.'!$B$4:$B$39)*(P26)</f>
        <v>0</v>
      </c>
      <c r="R26" s="31">
        <f t="shared" si="2"/>
        <v>1466.64</v>
      </c>
      <c r="S26" s="31">
        <f t="shared" si="3"/>
        <v>11858</v>
      </c>
      <c r="T26" s="94">
        <f t="shared" si="4"/>
        <v>1304.3800000000001</v>
      </c>
      <c r="U26" s="94">
        <f t="shared" si="5"/>
        <v>355.74</v>
      </c>
      <c r="V26" s="94">
        <f t="shared" si="5"/>
        <v>355.74</v>
      </c>
      <c r="W26" s="94">
        <f t="shared" si="6"/>
        <v>237.16</v>
      </c>
      <c r="X26" s="94">
        <f t="shared" si="7"/>
        <v>533.61</v>
      </c>
      <c r="Y26" s="31">
        <f t="shared" si="8"/>
        <v>2786.63</v>
      </c>
      <c r="Z26" s="168">
        <f t="shared" si="9"/>
        <v>9071.369999999999</v>
      </c>
      <c r="AA26" s="94">
        <f>'DATOS REFERENCIALES'!$C$10</f>
        <v>1294</v>
      </c>
      <c r="AB26" s="94">
        <f>IF((IF(H26&gt;1119,('DATOS REFERENCIALES'!$C$9-(S26-T26-U26-V26-W26-X26+AA26)),(('DATOS REFERENCIALES'!$C$9/1120)*H26)-(K26+N26+O26+P26+Q26+R26-T26-U26-V26-W26-X26+AA26)))&lt;0,0,IF(H26&gt;1119,(('DATOS REFERENCIALES'!$C$9)-(S26-T26-U26-V26-W26-X26+AA26)),(('DATOS REFERENCIALES'!$C$9/1120)*H26)-(K26+N26+O26+P26+Q26+R26-T26-U26-V26-W26-X26+AA26)))</f>
        <v>4245.630000000001</v>
      </c>
      <c r="AC26" s="94">
        <f t="shared" si="10"/>
        <v>14611</v>
      </c>
      <c r="AD26" s="106">
        <f>'DATOS REFERENCIALES'!$C$13</f>
        <v>1210</v>
      </c>
      <c r="AE26" s="308">
        <f>IF(H26&gt;1119,'DATOS REFERENCIALES'!$C$15,'DATOS REFERENCIALES'!$C$15/1120*H26)</f>
        <v>0</v>
      </c>
      <c r="AF26" s="150">
        <f>'DATOS REFERENCIALES'!$C$11</f>
        <v>320</v>
      </c>
      <c r="AG26" s="94">
        <f>'DATOS REFERENCIALES'!$C$12</f>
        <v>210</v>
      </c>
      <c r="AH26" s="122">
        <f t="shared" si="11"/>
        <v>16351</v>
      </c>
      <c r="AI26" s="13"/>
      <c r="AJ26" s="13"/>
      <c r="AK26" s="13"/>
      <c r="AL26" s="18"/>
      <c r="AM26" s="19"/>
      <c r="AN26" s="19"/>
      <c r="AR26" s="8"/>
    </row>
    <row r="27" spans="1:252" s="1" customFormat="1" ht="21.75" customHeight="1" x14ac:dyDescent="0.2">
      <c r="A27" s="47">
        <v>852</v>
      </c>
      <c r="B27" s="261" t="s">
        <v>78</v>
      </c>
      <c r="C27" s="46">
        <v>0</v>
      </c>
      <c r="D27" s="49"/>
      <c r="E27" s="200"/>
      <c r="F27" s="68"/>
      <c r="G27" s="76">
        <v>1120</v>
      </c>
      <c r="H27" s="60">
        <f t="shared" si="0"/>
        <v>1120</v>
      </c>
      <c r="I27" s="60"/>
      <c r="J27" s="60"/>
      <c r="K27" s="104">
        <f>H27*'DATOS REFERENCIALES'!$C$4</f>
        <v>6137.6</v>
      </c>
      <c r="L27" s="104"/>
      <c r="M27" s="104"/>
      <c r="N27" s="94">
        <f>LOOKUP(C27,'TABLA ANTIG.'!$A$4:$A$39,'TABLA ANTIG.'!$B$4:$B$39)*(K27)</f>
        <v>0</v>
      </c>
      <c r="O27" s="113">
        <f t="shared" si="1"/>
        <v>613.7600000000001</v>
      </c>
      <c r="P27" s="104">
        <f>'DATOS REFERENCIALES'!$C$8</f>
        <v>3640</v>
      </c>
      <c r="Q27" s="150">
        <f>LOOKUP(C27,'TABLA ANTIG.'!$A$4:$A$39,'TABLA ANTIG.'!$B$4:$B$39)*(P27)</f>
        <v>0</v>
      </c>
      <c r="R27" s="31">
        <f t="shared" si="2"/>
        <v>1466.64</v>
      </c>
      <c r="S27" s="31">
        <f t="shared" si="3"/>
        <v>11858</v>
      </c>
      <c r="T27" s="94">
        <f t="shared" si="4"/>
        <v>1304.3800000000001</v>
      </c>
      <c r="U27" s="94">
        <f t="shared" si="5"/>
        <v>355.74</v>
      </c>
      <c r="V27" s="94">
        <f t="shared" si="5"/>
        <v>355.74</v>
      </c>
      <c r="W27" s="94">
        <f t="shared" si="6"/>
        <v>237.16</v>
      </c>
      <c r="X27" s="94">
        <f t="shared" si="7"/>
        <v>533.61</v>
      </c>
      <c r="Y27" s="31">
        <f t="shared" si="8"/>
        <v>2786.63</v>
      </c>
      <c r="Z27" s="168">
        <f t="shared" si="9"/>
        <v>9071.369999999999</v>
      </c>
      <c r="AA27" s="94">
        <f>'DATOS REFERENCIALES'!$C$10</f>
        <v>1294</v>
      </c>
      <c r="AB27" s="94">
        <f>IF((IF(H27&gt;1119,('DATOS REFERENCIALES'!$C$9-(S27-T27-U27-V27-W27-X27+AA27)),(('DATOS REFERENCIALES'!$C$9/1120)*H27)-(K27+N27+O27+P27+Q27+R27-T27-U27-V27-W27-X27+AA27)))&lt;0,0,IF(H27&gt;1119,(('DATOS REFERENCIALES'!$C$9)-(S27-T27-U27-V27-W27-X27+AA27)),(('DATOS REFERENCIALES'!$C$9/1120)*H27)-(K27+N27+O27+P27+Q27+R27-T27-U27-V27-W27-X27+AA27)))</f>
        <v>4245.630000000001</v>
      </c>
      <c r="AC27" s="94">
        <f t="shared" si="10"/>
        <v>14611</v>
      </c>
      <c r="AD27" s="106">
        <f>'DATOS REFERENCIALES'!$C$13</f>
        <v>1210</v>
      </c>
      <c r="AE27" s="308">
        <f>IF(H27&gt;1119,'DATOS REFERENCIALES'!$C$15,'DATOS REFERENCIALES'!$C$15/1120*H27)</f>
        <v>0</v>
      </c>
      <c r="AF27" s="150">
        <f>'DATOS REFERENCIALES'!$C$11</f>
        <v>320</v>
      </c>
      <c r="AG27" s="94">
        <f>'DATOS REFERENCIALES'!$C$12</f>
        <v>210</v>
      </c>
      <c r="AH27" s="122">
        <f t="shared" si="11"/>
        <v>16351</v>
      </c>
      <c r="AI27" s="13"/>
      <c r="AJ27" s="13"/>
      <c r="AK27" s="13"/>
      <c r="AL27" s="18"/>
      <c r="AM27" s="19"/>
      <c r="AN27" s="19"/>
      <c r="AR27" s="8"/>
    </row>
    <row r="28" spans="1:252" s="1" customFormat="1" ht="21.75" customHeight="1" x14ac:dyDescent="0.2">
      <c r="A28" s="47">
        <v>546</v>
      </c>
      <c r="B28" s="261" t="s">
        <v>15</v>
      </c>
      <c r="C28" s="46">
        <v>0</v>
      </c>
      <c r="D28" s="49"/>
      <c r="E28" s="200"/>
      <c r="F28" s="68"/>
      <c r="G28" s="76">
        <v>1120</v>
      </c>
      <c r="H28" s="60">
        <f t="shared" si="0"/>
        <v>1120</v>
      </c>
      <c r="I28" s="60"/>
      <c r="J28" s="60"/>
      <c r="K28" s="104">
        <f>H28*'DATOS REFERENCIALES'!$C$4</f>
        <v>6137.6</v>
      </c>
      <c r="L28" s="104"/>
      <c r="M28" s="104"/>
      <c r="N28" s="94">
        <f>LOOKUP(C28,'TABLA ANTIG.'!$A$4:$A$39,'TABLA ANTIG.'!$B$4:$B$39)*(K28)</f>
        <v>0</v>
      </c>
      <c r="O28" s="113">
        <f t="shared" si="1"/>
        <v>613.7600000000001</v>
      </c>
      <c r="P28" s="104">
        <f>'DATOS REFERENCIALES'!$C$8</f>
        <v>3640</v>
      </c>
      <c r="Q28" s="150">
        <f>LOOKUP(C28,'TABLA ANTIG.'!$A$4:$A$39,'TABLA ANTIG.'!$B$4:$B$39)*(P28)</f>
        <v>0</v>
      </c>
      <c r="R28" s="31">
        <f t="shared" si="2"/>
        <v>1466.64</v>
      </c>
      <c r="S28" s="31">
        <f t="shared" si="3"/>
        <v>11858</v>
      </c>
      <c r="T28" s="94">
        <f t="shared" si="4"/>
        <v>1304.3800000000001</v>
      </c>
      <c r="U28" s="94">
        <f t="shared" si="5"/>
        <v>355.74</v>
      </c>
      <c r="V28" s="94">
        <f t="shared" si="5"/>
        <v>355.74</v>
      </c>
      <c r="W28" s="94">
        <f t="shared" si="6"/>
        <v>237.16</v>
      </c>
      <c r="X28" s="94">
        <f t="shared" si="7"/>
        <v>533.61</v>
      </c>
      <c r="Y28" s="31">
        <f t="shared" si="8"/>
        <v>2786.63</v>
      </c>
      <c r="Z28" s="168">
        <f t="shared" si="9"/>
        <v>9071.369999999999</v>
      </c>
      <c r="AA28" s="94">
        <f>'DATOS REFERENCIALES'!$C$10</f>
        <v>1294</v>
      </c>
      <c r="AB28" s="94">
        <f>IF((IF(H28&gt;1119,('DATOS REFERENCIALES'!$C$9-(S28-T28-U28-V28-W28-X28+AA28)),(('DATOS REFERENCIALES'!$C$9/1120)*H28)-(K28+N28+O28+P28+Q28+R28-T28-U28-V28-W28-X28+AA28)))&lt;0,0,IF(H28&gt;1119,(('DATOS REFERENCIALES'!$C$9)-(S28-T28-U28-V28-W28-X28+AA28)),(('DATOS REFERENCIALES'!$C$9/1120)*H28)-(K28+N28+O28+P28+Q28+R28-T28-U28-V28-W28-X28+AA28)))</f>
        <v>4245.630000000001</v>
      </c>
      <c r="AC28" s="94">
        <f t="shared" si="10"/>
        <v>14611</v>
      </c>
      <c r="AD28" s="106">
        <f>'DATOS REFERENCIALES'!$C$13</f>
        <v>1210</v>
      </c>
      <c r="AE28" s="308">
        <f>IF(H28&gt;1119,'DATOS REFERENCIALES'!$C$15,'DATOS REFERENCIALES'!$C$15/1120*H28)</f>
        <v>0</v>
      </c>
      <c r="AF28" s="150">
        <f>'DATOS REFERENCIALES'!$C$11</f>
        <v>320</v>
      </c>
      <c r="AG28" s="94">
        <f>'DATOS REFERENCIALES'!$C$12</f>
        <v>210</v>
      </c>
      <c r="AH28" s="122">
        <f t="shared" si="11"/>
        <v>16351</v>
      </c>
      <c r="AI28" s="13"/>
      <c r="AJ28" s="13"/>
      <c r="AK28" s="13"/>
      <c r="AL28" s="18"/>
      <c r="AM28" s="19"/>
      <c r="AN28" s="19"/>
      <c r="AR28" s="8"/>
    </row>
    <row r="29" spans="1:252" s="1" customFormat="1" ht="21.75" customHeight="1" x14ac:dyDescent="0.2">
      <c r="A29" s="47">
        <v>571</v>
      </c>
      <c r="B29" s="261" t="s">
        <v>79</v>
      </c>
      <c r="C29" s="46">
        <v>0</v>
      </c>
      <c r="D29" s="47"/>
      <c r="E29" s="201"/>
      <c r="F29" s="46"/>
      <c r="G29" s="75">
        <v>1120</v>
      </c>
      <c r="H29" s="61">
        <f t="shared" si="0"/>
        <v>1120</v>
      </c>
      <c r="I29" s="61"/>
      <c r="J29" s="61"/>
      <c r="K29" s="104">
        <f>H29*'DATOS REFERENCIALES'!$C$4</f>
        <v>6137.6</v>
      </c>
      <c r="L29" s="104"/>
      <c r="M29" s="104"/>
      <c r="N29" s="94">
        <f>LOOKUP(C29,'TABLA ANTIG.'!$A$4:$A$39,'TABLA ANTIG.'!$B$4:$B$39)*(K29)</f>
        <v>0</v>
      </c>
      <c r="O29" s="113">
        <f t="shared" si="1"/>
        <v>613.7600000000001</v>
      </c>
      <c r="P29" s="104">
        <f>'DATOS REFERENCIALES'!$C$8</f>
        <v>3640</v>
      </c>
      <c r="Q29" s="150">
        <f>LOOKUP(C29,'TABLA ANTIG.'!$A$4:$A$39,'TABLA ANTIG.'!$B$4:$B$39)*(P29)</f>
        <v>0</v>
      </c>
      <c r="R29" s="31">
        <f t="shared" si="2"/>
        <v>1466.64</v>
      </c>
      <c r="S29" s="31">
        <f t="shared" si="3"/>
        <v>11858</v>
      </c>
      <c r="T29" s="94">
        <f t="shared" si="4"/>
        <v>1304.3800000000001</v>
      </c>
      <c r="U29" s="94">
        <f t="shared" si="5"/>
        <v>355.74</v>
      </c>
      <c r="V29" s="94">
        <f t="shared" si="5"/>
        <v>355.74</v>
      </c>
      <c r="W29" s="94">
        <f t="shared" si="6"/>
        <v>237.16</v>
      </c>
      <c r="X29" s="94">
        <f t="shared" si="7"/>
        <v>533.61</v>
      </c>
      <c r="Y29" s="31">
        <f t="shared" si="8"/>
        <v>2786.63</v>
      </c>
      <c r="Z29" s="168">
        <f t="shared" si="9"/>
        <v>9071.369999999999</v>
      </c>
      <c r="AA29" s="94">
        <f>'DATOS REFERENCIALES'!$C$10</f>
        <v>1294</v>
      </c>
      <c r="AB29" s="94">
        <f>IF((IF(H29&gt;1119,('DATOS REFERENCIALES'!$C$9-(S29-T29-U29-V29-W29-X29+AA29)),(('DATOS REFERENCIALES'!$C$9/1120)*H29)-(K29+N29+O29+P29+Q29+R29-T29-U29-V29-W29-X29+AA29)))&lt;0,0,IF(H29&gt;1119,(('DATOS REFERENCIALES'!$C$9)-(S29-T29-U29-V29-W29-X29+AA29)),(('DATOS REFERENCIALES'!$C$9/1120)*H29)-(K29+N29+O29+P29+Q29+R29-T29-U29-V29-W29-X29+AA29)))</f>
        <v>4245.630000000001</v>
      </c>
      <c r="AC29" s="94">
        <f t="shared" si="10"/>
        <v>14611</v>
      </c>
      <c r="AD29" s="106">
        <f>'DATOS REFERENCIALES'!$C$13</f>
        <v>1210</v>
      </c>
      <c r="AE29" s="308">
        <f>IF(H29&gt;1119,'DATOS REFERENCIALES'!$C$15,'DATOS REFERENCIALES'!$C$15/1120*H29)</f>
        <v>0</v>
      </c>
      <c r="AF29" s="150">
        <f>'DATOS REFERENCIALES'!$C$11</f>
        <v>320</v>
      </c>
      <c r="AG29" s="94">
        <f>'DATOS REFERENCIALES'!$C$12</f>
        <v>210</v>
      </c>
      <c r="AH29" s="122">
        <f t="shared" si="11"/>
        <v>16351</v>
      </c>
      <c r="AI29" s="13"/>
      <c r="AJ29" s="13"/>
      <c r="AK29" s="13"/>
      <c r="AL29" s="13"/>
      <c r="AM29" s="19"/>
      <c r="AN29" s="19"/>
      <c r="AR29" s="8"/>
    </row>
    <row r="30" spans="1:252" s="7" customFormat="1" ht="21.75" customHeight="1" x14ac:dyDescent="0.2">
      <c r="A30" s="47">
        <v>582</v>
      </c>
      <c r="B30" s="261" t="s">
        <v>77</v>
      </c>
      <c r="C30" s="46">
        <v>0</v>
      </c>
      <c r="D30" s="49"/>
      <c r="E30" s="200"/>
      <c r="F30" s="68"/>
      <c r="G30" s="76">
        <v>959.5</v>
      </c>
      <c r="H30" s="60">
        <f t="shared" si="0"/>
        <v>959.5</v>
      </c>
      <c r="I30" s="60"/>
      <c r="J30" s="60"/>
      <c r="K30" s="104">
        <f>H30*'DATOS REFERENCIALES'!$C$4</f>
        <v>5258.06</v>
      </c>
      <c r="L30" s="104"/>
      <c r="M30" s="104"/>
      <c r="N30" s="94">
        <f>LOOKUP(C30,'TABLA ANTIG.'!$A$4:$A$39,'TABLA ANTIG.'!$B$4:$B$39)*(K30)</f>
        <v>0</v>
      </c>
      <c r="O30" s="113">
        <f t="shared" si="1"/>
        <v>525.80600000000004</v>
      </c>
      <c r="P30" s="104">
        <f>'DATOS REFERENCIALES'!$C$8</f>
        <v>3640</v>
      </c>
      <c r="Q30" s="150">
        <f>LOOKUP(C30,'TABLA ANTIG.'!$A$4:$A$39,'TABLA ANTIG.'!$B$4:$B$39)*(P30)</f>
        <v>0</v>
      </c>
      <c r="R30" s="31">
        <f t="shared" si="2"/>
        <v>1334.7090000000001</v>
      </c>
      <c r="S30" s="31">
        <f t="shared" si="3"/>
        <v>10758.575000000001</v>
      </c>
      <c r="T30" s="94">
        <f t="shared" si="4"/>
        <v>1183.44325</v>
      </c>
      <c r="U30" s="94">
        <f t="shared" si="5"/>
        <v>322.75725</v>
      </c>
      <c r="V30" s="94">
        <f t="shared" si="5"/>
        <v>322.75725</v>
      </c>
      <c r="W30" s="94">
        <f t="shared" si="6"/>
        <v>215.17150000000001</v>
      </c>
      <c r="X30" s="94">
        <f t="shared" si="7"/>
        <v>484.135875</v>
      </c>
      <c r="Y30" s="31">
        <f t="shared" si="8"/>
        <v>2528.2651249999999</v>
      </c>
      <c r="Z30" s="168">
        <f t="shared" si="9"/>
        <v>8230.3098750000008</v>
      </c>
      <c r="AA30" s="94">
        <f>'DATOS REFERENCIALES'!$C$10</f>
        <v>1294</v>
      </c>
      <c r="AB30" s="94">
        <f>IF((IF(H30&gt;1119,('DATOS REFERENCIALES'!$C$9-(S30-T30-U30-V30-W30-X30+AA30)),(('DATOS REFERENCIALES'!$C$9/1120)*H30)-(K30+N30+O30+P30+Q30+R30-T30-U30-V30-W30-X30+AA30)))&lt;0,0,IF(H30&gt;1119,(('DATOS REFERENCIALES'!$C$9)-(S30-T30-U30-V30-W30-X30+AA30)),(('DATOS REFERENCIALES'!$C$9/1120)*H30)-(K30+N30+O30+P30+Q30+R30-T30-U30-V30-W30-X30+AA30)))</f>
        <v>2992.8816428571445</v>
      </c>
      <c r="AC30" s="94">
        <f t="shared" si="10"/>
        <v>12517.191517857145</v>
      </c>
      <c r="AD30" s="106">
        <f>'DATOS REFERENCIALES'!$C$13</f>
        <v>1210</v>
      </c>
      <c r="AE30" s="308">
        <f>IF(H30&gt;1119,'DATOS REFERENCIALES'!$C$15,'DATOS REFERENCIALES'!$C$15/1120*H30)</f>
        <v>0</v>
      </c>
      <c r="AF30" s="150">
        <f>'DATOS REFERENCIALES'!$C$11</f>
        <v>320</v>
      </c>
      <c r="AG30" s="94">
        <f>'DATOS REFERENCIALES'!$C$12</f>
        <v>210</v>
      </c>
      <c r="AH30" s="122">
        <f t="shared" si="11"/>
        <v>14257.191517857145</v>
      </c>
      <c r="AI30" s="13"/>
      <c r="AJ30" s="13"/>
      <c r="AK30" s="13"/>
      <c r="AL30" s="13"/>
      <c r="AM30" s="19"/>
      <c r="AN30" s="19"/>
      <c r="AO30" s="1"/>
      <c r="AP30" s="1"/>
      <c r="AQ30" s="1"/>
      <c r="AR30" s="8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s="7" customFormat="1" ht="21.75" customHeight="1" x14ac:dyDescent="0.2">
      <c r="A31" s="47">
        <v>583</v>
      </c>
      <c r="B31" s="261" t="s">
        <v>76</v>
      </c>
      <c r="C31" s="46">
        <v>0</v>
      </c>
      <c r="D31" s="49"/>
      <c r="E31" s="200"/>
      <c r="F31" s="68"/>
      <c r="G31" s="76">
        <v>982</v>
      </c>
      <c r="H31" s="60">
        <f t="shared" si="0"/>
        <v>982</v>
      </c>
      <c r="I31" s="60"/>
      <c r="J31" s="60"/>
      <c r="K31" s="104">
        <f>H31*'DATOS REFERENCIALES'!$C$4</f>
        <v>5381.3600000000006</v>
      </c>
      <c r="L31" s="104"/>
      <c r="M31" s="104"/>
      <c r="N31" s="94">
        <f>LOOKUP(C31,'TABLA ANTIG.'!$A$4:$A$39,'TABLA ANTIG.'!$B$4:$B$39)*(K31)</f>
        <v>0</v>
      </c>
      <c r="O31" s="113">
        <f t="shared" si="1"/>
        <v>538.13600000000008</v>
      </c>
      <c r="P31" s="104">
        <f>'DATOS REFERENCIALES'!$C$8</f>
        <v>3640</v>
      </c>
      <c r="Q31" s="150">
        <f>LOOKUP(C31,'TABLA ANTIG.'!$A$4:$A$39,'TABLA ANTIG.'!$B$4:$B$39)*(P31)</f>
        <v>0</v>
      </c>
      <c r="R31" s="31">
        <f t="shared" si="2"/>
        <v>1353.204</v>
      </c>
      <c r="S31" s="31">
        <f t="shared" si="3"/>
        <v>10912.7</v>
      </c>
      <c r="T31" s="94">
        <f t="shared" si="4"/>
        <v>1200.3970000000002</v>
      </c>
      <c r="U31" s="94">
        <f t="shared" si="5"/>
        <v>327.38100000000003</v>
      </c>
      <c r="V31" s="94">
        <f t="shared" si="5"/>
        <v>327.38100000000003</v>
      </c>
      <c r="W31" s="94">
        <f t="shared" si="6"/>
        <v>218.25400000000002</v>
      </c>
      <c r="X31" s="94">
        <f t="shared" si="7"/>
        <v>491.07150000000001</v>
      </c>
      <c r="Y31" s="31">
        <f t="shared" si="8"/>
        <v>2564.4845000000005</v>
      </c>
      <c r="Z31" s="168">
        <f t="shared" si="9"/>
        <v>8348.2155000000002</v>
      </c>
      <c r="AA31" s="94">
        <f>'DATOS REFERENCIALES'!$C$10</f>
        <v>1294</v>
      </c>
      <c r="AB31" s="94">
        <f>IF((IF(H31&gt;1119,('DATOS REFERENCIALES'!$C$9-(S31-T31-U31-V31-W31-X31+AA31)),(('DATOS REFERENCIALES'!$C$9/1120)*H31)-(K31+N31+O31+P31+Q31+R31-T31-U31-V31-W31-X31+AA31)))&lt;0,0,IF(H31&gt;1119,(('DATOS REFERENCIALES'!$C$9)-(S31-T31-U31-V31-W31-X31+AA31)),(('DATOS REFERENCIALES'!$C$9/1120)*H31)-(K31+N31+O31+P31+Q31+R31-T31-U31-V31-W31-X31+AA31)))</f>
        <v>3168.5005714285708</v>
      </c>
      <c r="AC31" s="94">
        <f t="shared" si="10"/>
        <v>12810.716071428571</v>
      </c>
      <c r="AD31" s="106">
        <f>'DATOS REFERENCIALES'!$C$13</f>
        <v>1210</v>
      </c>
      <c r="AE31" s="308">
        <f>IF(H31&gt;1119,'DATOS REFERENCIALES'!$C$15,'DATOS REFERENCIALES'!$C$15/1120*H31)</f>
        <v>0</v>
      </c>
      <c r="AF31" s="150">
        <f>'DATOS REFERENCIALES'!$C$11</f>
        <v>320</v>
      </c>
      <c r="AG31" s="94">
        <f>'DATOS REFERENCIALES'!$C$12</f>
        <v>210</v>
      </c>
      <c r="AH31" s="122">
        <f t="shared" si="11"/>
        <v>14550.716071428571</v>
      </c>
      <c r="AI31" s="13"/>
      <c r="AJ31" s="13"/>
      <c r="AK31" s="13"/>
      <c r="AL31" s="13"/>
      <c r="AM31" s="19"/>
      <c r="AN31" s="19"/>
      <c r="AO31" s="1"/>
      <c r="AP31" s="1"/>
      <c r="AQ31" s="1"/>
      <c r="AR31" s="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s="1" customFormat="1" ht="21.75" customHeight="1" x14ac:dyDescent="0.2">
      <c r="A32" s="47">
        <v>554</v>
      </c>
      <c r="B32" s="261" t="s">
        <v>17</v>
      </c>
      <c r="C32" s="46">
        <v>0</v>
      </c>
      <c r="D32" s="49"/>
      <c r="E32" s="200"/>
      <c r="F32" s="68"/>
      <c r="G32" s="76">
        <v>810</v>
      </c>
      <c r="H32" s="60">
        <f t="shared" si="0"/>
        <v>810</v>
      </c>
      <c r="I32" s="60"/>
      <c r="J32" s="60"/>
      <c r="K32" s="104">
        <f>H32*'DATOS REFERENCIALES'!$C$4</f>
        <v>4438.8</v>
      </c>
      <c r="L32" s="104"/>
      <c r="M32" s="104"/>
      <c r="N32" s="94">
        <f>LOOKUP(C32,'TABLA ANTIG.'!$A$4:$A$39,'TABLA ANTIG.'!$B$4:$B$39)*(K32)</f>
        <v>0</v>
      </c>
      <c r="O32" s="113">
        <f t="shared" si="1"/>
        <v>443.88000000000005</v>
      </c>
      <c r="P32" s="104">
        <f>'DATOS REFERENCIALES'!$C$8</f>
        <v>3640</v>
      </c>
      <c r="Q32" s="150">
        <f>LOOKUP(C32,'TABLA ANTIG.'!$A$4:$A$39,'TABLA ANTIG.'!$B$4:$B$39)*(P32)</f>
        <v>0</v>
      </c>
      <c r="R32" s="31">
        <f t="shared" si="2"/>
        <v>1211.82</v>
      </c>
      <c r="S32" s="31">
        <f t="shared" si="3"/>
        <v>9734.5</v>
      </c>
      <c r="T32" s="94">
        <f t="shared" si="4"/>
        <v>1070.7950000000001</v>
      </c>
      <c r="U32" s="94">
        <f t="shared" si="5"/>
        <v>292.03499999999997</v>
      </c>
      <c r="V32" s="94">
        <f t="shared" si="5"/>
        <v>292.03499999999997</v>
      </c>
      <c r="W32" s="94">
        <f t="shared" si="6"/>
        <v>194.69</v>
      </c>
      <c r="X32" s="94">
        <f t="shared" si="7"/>
        <v>438.05250000000001</v>
      </c>
      <c r="Y32" s="31">
        <f t="shared" si="8"/>
        <v>2287.6075000000001</v>
      </c>
      <c r="Z32" s="168">
        <f t="shared" si="9"/>
        <v>7446.8924999999999</v>
      </c>
      <c r="AA32" s="94">
        <f>'DATOS REFERENCIALES'!$C$10</f>
        <v>1294</v>
      </c>
      <c r="AB32" s="94">
        <f>IF((IF(H32&gt;1119,('DATOS REFERENCIALES'!$C$9-(S32-T32-U32-V32-W32-X32+AA32)),(('DATOS REFERENCIALES'!$C$9/1120)*H32)-(K32+N32+O32+P32+Q32+R32-T32-U32-V32-W32-X32+AA32)))&lt;0,0,IF(H32&gt;1119,(('DATOS REFERENCIALES'!$C$9)-(S32-T32-U32-V32-W32-X32+AA32)),(('DATOS REFERENCIALES'!$C$9/1120)*H32)-(K32+N32+O32+P32+Q32+R32-T32-U32-V32-W32-X32+AA32)))</f>
        <v>1825.9914285714276</v>
      </c>
      <c r="AC32" s="94">
        <f t="shared" si="10"/>
        <v>10566.883928571428</v>
      </c>
      <c r="AD32" s="106">
        <f>'DATOS REFERENCIALES'!$C$13</f>
        <v>1210</v>
      </c>
      <c r="AE32" s="308">
        <f>IF(H32&gt;1119,'DATOS REFERENCIALES'!$C$15,'DATOS REFERENCIALES'!$C$15/1120*H32)</f>
        <v>0</v>
      </c>
      <c r="AF32" s="150">
        <f>'DATOS REFERENCIALES'!$C$11</f>
        <v>320</v>
      </c>
      <c r="AG32" s="94">
        <f>'DATOS REFERENCIALES'!$C$12</f>
        <v>210</v>
      </c>
      <c r="AH32" s="122">
        <f t="shared" si="11"/>
        <v>12306.883928571428</v>
      </c>
      <c r="AI32" s="13"/>
      <c r="AJ32" s="13"/>
      <c r="AK32" s="13"/>
      <c r="AL32" s="13"/>
      <c r="AM32" s="19"/>
      <c r="AN32" s="19"/>
      <c r="AR32" s="8"/>
    </row>
    <row r="33" spans="1:44" s="1" customFormat="1" ht="21.75" customHeight="1" x14ac:dyDescent="0.2">
      <c r="A33" s="47">
        <v>536</v>
      </c>
      <c r="B33" s="261" t="s">
        <v>22</v>
      </c>
      <c r="C33" s="46">
        <v>0</v>
      </c>
      <c r="D33" s="49"/>
      <c r="E33" s="200"/>
      <c r="F33" s="68"/>
      <c r="G33" s="76">
        <v>1120</v>
      </c>
      <c r="H33" s="60">
        <f t="shared" si="0"/>
        <v>1120</v>
      </c>
      <c r="I33" s="60"/>
      <c r="J33" s="60"/>
      <c r="K33" s="104">
        <f>H33*'DATOS REFERENCIALES'!$C$4</f>
        <v>6137.6</v>
      </c>
      <c r="L33" s="104"/>
      <c r="M33" s="104"/>
      <c r="N33" s="94">
        <f>LOOKUP(C33,'TABLA ANTIG.'!$A$4:$A$39,'TABLA ANTIG.'!$B$4:$B$39)*(K33)</f>
        <v>0</v>
      </c>
      <c r="O33" s="113">
        <f t="shared" si="1"/>
        <v>613.7600000000001</v>
      </c>
      <c r="P33" s="104">
        <f>'DATOS REFERENCIALES'!$C$8</f>
        <v>3640</v>
      </c>
      <c r="Q33" s="150">
        <f>LOOKUP(C33,'TABLA ANTIG.'!$A$4:$A$39,'TABLA ANTIG.'!$B$4:$B$39)*(P33)</f>
        <v>0</v>
      </c>
      <c r="R33" s="31">
        <f t="shared" si="2"/>
        <v>1466.64</v>
      </c>
      <c r="S33" s="31">
        <f t="shared" si="3"/>
        <v>11858</v>
      </c>
      <c r="T33" s="94">
        <f t="shared" si="4"/>
        <v>1304.3800000000001</v>
      </c>
      <c r="U33" s="94">
        <f t="shared" si="5"/>
        <v>355.74</v>
      </c>
      <c r="V33" s="94">
        <f t="shared" si="5"/>
        <v>355.74</v>
      </c>
      <c r="W33" s="94">
        <f t="shared" si="6"/>
        <v>237.16</v>
      </c>
      <c r="X33" s="94">
        <f t="shared" si="7"/>
        <v>533.61</v>
      </c>
      <c r="Y33" s="31">
        <f t="shared" si="8"/>
        <v>2786.63</v>
      </c>
      <c r="Z33" s="168">
        <f t="shared" si="9"/>
        <v>9071.369999999999</v>
      </c>
      <c r="AA33" s="94">
        <f>'DATOS REFERENCIALES'!$C$10</f>
        <v>1294</v>
      </c>
      <c r="AB33" s="94">
        <f>IF((IF(H33&gt;1119,('DATOS REFERENCIALES'!$C$9-(S33-T33-U33-V33-W33-X33+AA33)),(('DATOS REFERENCIALES'!$C$9/1120)*H33)-(K33+N33+O33+P33+Q33+R33-T33-U33-V33-W33-X33+AA33)))&lt;0,0,IF(H33&gt;1119,(('DATOS REFERENCIALES'!$C$9)-(S33-T33-U33-V33-W33-X33+AA33)),(('DATOS REFERENCIALES'!$C$9/1120)*H33)-(K33+N33+O33+P33+Q33+R33-T33-U33-V33-W33-X33+AA33)))</f>
        <v>4245.630000000001</v>
      </c>
      <c r="AC33" s="94">
        <f t="shared" si="10"/>
        <v>14611</v>
      </c>
      <c r="AD33" s="106">
        <f>'DATOS REFERENCIALES'!$C$13</f>
        <v>1210</v>
      </c>
      <c r="AE33" s="308">
        <f>IF(H33&gt;1119,'DATOS REFERENCIALES'!$C$15,'DATOS REFERENCIALES'!$C$15/1120*H33)</f>
        <v>0</v>
      </c>
      <c r="AF33" s="150">
        <f>'DATOS REFERENCIALES'!$C$11</f>
        <v>320</v>
      </c>
      <c r="AG33" s="94">
        <f>'DATOS REFERENCIALES'!$C$12</f>
        <v>210</v>
      </c>
      <c r="AH33" s="122">
        <f t="shared" si="11"/>
        <v>16351</v>
      </c>
      <c r="AI33" s="13"/>
      <c r="AJ33" s="13"/>
      <c r="AK33" s="13"/>
      <c r="AL33" s="18"/>
      <c r="AM33" s="19"/>
      <c r="AN33" s="19"/>
      <c r="AR33" s="8"/>
    </row>
    <row r="34" spans="1:44" s="1" customFormat="1" ht="21.75" customHeight="1" x14ac:dyDescent="0.2">
      <c r="A34" s="47">
        <v>580</v>
      </c>
      <c r="B34" s="261" t="s">
        <v>6</v>
      </c>
      <c r="C34" s="46">
        <v>0</v>
      </c>
      <c r="D34" s="47"/>
      <c r="E34" s="201"/>
      <c r="F34" s="46"/>
      <c r="G34" s="75">
        <v>1120</v>
      </c>
      <c r="H34" s="61">
        <f t="shared" si="0"/>
        <v>1120</v>
      </c>
      <c r="I34" s="61"/>
      <c r="J34" s="61"/>
      <c r="K34" s="104">
        <f>H34*'DATOS REFERENCIALES'!$C$4</f>
        <v>6137.6</v>
      </c>
      <c r="L34" s="104"/>
      <c r="M34" s="104"/>
      <c r="N34" s="94">
        <f>LOOKUP(C34,'TABLA ANTIG.'!$A$4:$A$39,'TABLA ANTIG.'!$B$4:$B$39)*(K34)</f>
        <v>0</v>
      </c>
      <c r="O34" s="113">
        <f t="shared" si="1"/>
        <v>613.7600000000001</v>
      </c>
      <c r="P34" s="104">
        <f>'DATOS REFERENCIALES'!$C$8</f>
        <v>3640</v>
      </c>
      <c r="Q34" s="150">
        <f>LOOKUP(C34,'TABLA ANTIG.'!$A$4:$A$39,'TABLA ANTIG.'!$B$4:$B$39)*(P34)</f>
        <v>0</v>
      </c>
      <c r="R34" s="31">
        <f t="shared" si="2"/>
        <v>1466.64</v>
      </c>
      <c r="S34" s="31">
        <f t="shared" si="3"/>
        <v>11858</v>
      </c>
      <c r="T34" s="94">
        <f t="shared" si="4"/>
        <v>1304.3800000000001</v>
      </c>
      <c r="U34" s="94">
        <f t="shared" si="5"/>
        <v>355.74</v>
      </c>
      <c r="V34" s="94">
        <f t="shared" si="5"/>
        <v>355.74</v>
      </c>
      <c r="W34" s="94">
        <f t="shared" si="6"/>
        <v>237.16</v>
      </c>
      <c r="X34" s="94">
        <f t="shared" si="7"/>
        <v>533.61</v>
      </c>
      <c r="Y34" s="31">
        <f t="shared" si="8"/>
        <v>2786.63</v>
      </c>
      <c r="Z34" s="168">
        <f t="shared" si="9"/>
        <v>9071.369999999999</v>
      </c>
      <c r="AA34" s="94">
        <f>'DATOS REFERENCIALES'!$C$10</f>
        <v>1294</v>
      </c>
      <c r="AB34" s="94">
        <f>IF((IF(H34&gt;1119,('DATOS REFERENCIALES'!$C$9-(S34-T34-U34-V34-W34-X34+AA34)),(('DATOS REFERENCIALES'!$C$9/1120)*H34)-(K34+N34+O34+P34+Q34+R34-T34-U34-V34-W34-X34+AA34)))&lt;0,0,IF(H34&gt;1119,(('DATOS REFERENCIALES'!$C$9)-(S34-T34-U34-V34-W34-X34+AA34)),(('DATOS REFERENCIALES'!$C$9/1120)*H34)-(K34+N34+O34+P34+Q34+R34-T34-U34-V34-W34-X34+AA34)))</f>
        <v>4245.630000000001</v>
      </c>
      <c r="AC34" s="94">
        <f t="shared" si="10"/>
        <v>14611</v>
      </c>
      <c r="AD34" s="106">
        <f>'DATOS REFERENCIALES'!$C$13</f>
        <v>1210</v>
      </c>
      <c r="AE34" s="308">
        <f>IF(H34&gt;1119,'DATOS REFERENCIALES'!$C$15,'DATOS REFERENCIALES'!$C$15/1120*H34)</f>
        <v>0</v>
      </c>
      <c r="AF34" s="150">
        <f>'DATOS REFERENCIALES'!$C$11</f>
        <v>320</v>
      </c>
      <c r="AG34" s="94">
        <f>'DATOS REFERENCIALES'!$C$12</f>
        <v>210</v>
      </c>
      <c r="AH34" s="122">
        <f t="shared" si="11"/>
        <v>16351</v>
      </c>
      <c r="AI34" s="13"/>
      <c r="AJ34" s="13"/>
      <c r="AK34" s="13"/>
      <c r="AL34" s="18"/>
      <c r="AM34" s="19"/>
      <c r="AN34" s="19"/>
      <c r="AR34" s="8"/>
    </row>
    <row r="35" spans="1:44" s="1" customFormat="1" ht="21.75" customHeight="1" x14ac:dyDescent="0.2">
      <c r="A35" s="47">
        <v>6539</v>
      </c>
      <c r="B35" s="261" t="s">
        <v>18</v>
      </c>
      <c r="C35" s="46">
        <v>0</v>
      </c>
      <c r="D35" s="27">
        <v>1</v>
      </c>
      <c r="E35" s="200"/>
      <c r="F35" s="68"/>
      <c r="G35" s="76">
        <v>56</v>
      </c>
      <c r="H35" s="60">
        <f t="shared" si="0"/>
        <v>56</v>
      </c>
      <c r="I35" s="60"/>
      <c r="J35" s="60"/>
      <c r="K35" s="104">
        <f>(H35*'DATOS REFERENCIALES'!$C$4)*D35</f>
        <v>306.88</v>
      </c>
      <c r="L35" s="104"/>
      <c r="M35" s="104"/>
      <c r="N35" s="94">
        <f>LOOKUP(C35,'TABLA ANTIG.'!$A$4:$A$39,'TABLA ANTIG.'!$B$4:$B$39)*(K35)</f>
        <v>0</v>
      </c>
      <c r="O35" s="113">
        <f t="shared" si="1"/>
        <v>30.688000000000002</v>
      </c>
      <c r="P35" s="104">
        <f>IF(D35&gt;48,'DATOS REFERENCIALES'!$D$8+('DATOS REFERENCIALES'!$F$8*10),IF(D35&lt;39,'DATOS REFERENCIALES'!$E$8*D35,((D35-'DATOS REFERENCIALES'!$I$8)*'DATOS REFERENCIALES'!$F$8)+'DATOS REFERENCIALES'!$D$8))</f>
        <v>191.57</v>
      </c>
      <c r="Q35" s="150">
        <f>LOOKUP(C35,'TABLA ANTIG.'!$A$4:$A$39,'TABLA ANTIG.'!$B$4:$B$39)*(P35)</f>
        <v>0</v>
      </c>
      <c r="R35" s="31">
        <f t="shared" si="2"/>
        <v>74.767499999999998</v>
      </c>
      <c r="S35" s="31">
        <f t="shared" si="3"/>
        <v>603.90549999999996</v>
      </c>
      <c r="T35" s="94">
        <f t="shared" si="4"/>
        <v>66.429604999999995</v>
      </c>
      <c r="U35" s="94">
        <f t="shared" si="5"/>
        <v>18.117164999999996</v>
      </c>
      <c r="V35" s="94">
        <f t="shared" si="5"/>
        <v>18.117164999999996</v>
      </c>
      <c r="W35" s="94">
        <f t="shared" si="6"/>
        <v>12.078109999999999</v>
      </c>
      <c r="X35" s="94">
        <f t="shared" si="7"/>
        <v>27.175747499999996</v>
      </c>
      <c r="Y35" s="31">
        <f t="shared" si="8"/>
        <v>141.91779249999999</v>
      </c>
      <c r="Z35" s="168">
        <f t="shared" si="9"/>
        <v>461.98770749999994</v>
      </c>
      <c r="AA35" s="94">
        <f>IF(D35&gt;38,'DATOS REFERENCIALES'!$D$10,'DATOS REFERENCIALES'!$E$10*D35)</f>
        <v>68.105000000000004</v>
      </c>
      <c r="AB35" s="94">
        <f>IF((IF(H35&gt;1119,('DATOS REFERENCIALES'!$C$9-(S35-T35-U35-V35-W35-X35+AA35)),('DATOS REFERENCIALES'!$C$9/20*D35)-(K35+N35+O35+P35+Q35+R35-T35-U35-V35-W35-X35+AA35)))&lt;0,0,IF(H35&gt;1119,(('DATOS REFERENCIALES'!$C$9/20*D35)-(S35-T35-U35-V35-W35-X35+AA35)),('DATOS REFERENCIALES'!$C$9/20*D35)-(K35+N35+O35+P35+Q35+R35-T35-U35-V35-W35-X35+AA35)))</f>
        <v>200.45729249999999</v>
      </c>
      <c r="AC35" s="94">
        <f t="shared" si="10"/>
        <v>730.55</v>
      </c>
      <c r="AD35" s="106">
        <f>IF(D35&gt;30,'DATOS REFERENCIALES'!$D$13,('DATOS REFERENCIALES'!$E$13*D35))</f>
        <v>80.666659999999993</v>
      </c>
      <c r="AE35" s="308">
        <f>IF(D35&gt;'DATOS REFERENCIALES'!$I$15,'DATOS REFERENCIALES'!$D$15,'DATOS REFERENCIALES'!$E$15*D35)</f>
        <v>0</v>
      </c>
      <c r="AF35" s="150">
        <f>IF(D35&gt;'DATOS REFERENCIALES'!$I$11,'DATOS REFERENCIALES'!$D$11,'DATOS REFERENCIALES'!$E$11*D35)</f>
        <v>21.34</v>
      </c>
      <c r="AG35" s="94">
        <f>IF(D35&gt;'DATOS REFERENCIALES'!$I$12,'DATOS REFERENCIALES'!$D$12,'DATOS REFERENCIALES'!$E$12*D35)</f>
        <v>14</v>
      </c>
      <c r="AH35" s="94">
        <f t="shared" si="11"/>
        <v>846.55665999999997</v>
      </c>
      <c r="AI35" s="13"/>
      <c r="AJ35" s="13"/>
      <c r="AK35" s="13"/>
      <c r="AL35" s="18"/>
      <c r="AM35" s="19"/>
      <c r="AN35" s="19"/>
      <c r="AR35" s="8"/>
    </row>
    <row r="36" spans="1:44" s="1" customFormat="1" ht="21.75" customHeight="1" x14ac:dyDescent="0.2">
      <c r="A36" s="47">
        <v>6540</v>
      </c>
      <c r="B36" s="261" t="s">
        <v>19</v>
      </c>
      <c r="C36" s="46">
        <v>0</v>
      </c>
      <c r="D36" s="27">
        <v>1</v>
      </c>
      <c r="E36" s="200"/>
      <c r="F36" s="68"/>
      <c r="G36" s="76">
        <v>56</v>
      </c>
      <c r="H36" s="60">
        <f t="shared" si="0"/>
        <v>56</v>
      </c>
      <c r="I36" s="60"/>
      <c r="J36" s="60"/>
      <c r="K36" s="104">
        <f>(H36*'DATOS REFERENCIALES'!$C$4)*D36</f>
        <v>306.88</v>
      </c>
      <c r="L36" s="104"/>
      <c r="M36" s="104"/>
      <c r="N36" s="94">
        <f>LOOKUP(C36,'TABLA ANTIG.'!$A$4:$A$39,'TABLA ANTIG.'!$B$4:$B$39)*(K36)</f>
        <v>0</v>
      </c>
      <c r="O36" s="113">
        <f t="shared" si="1"/>
        <v>30.688000000000002</v>
      </c>
      <c r="P36" s="104">
        <f>IF(D36&gt;48,'DATOS REFERENCIALES'!D20+('DATOS REFERENCIALES'!F20*10),IF(D36&lt;39,'DATOS REFERENCIALES'!$E$8*D36,((D36-'DATOS REFERENCIALES'!$I$8)*'DATOS REFERENCIALES'!$F$8)+'DATOS REFERENCIALES'!D20))</f>
        <v>191.57</v>
      </c>
      <c r="Q36" s="150">
        <f>LOOKUP(C36,'TABLA ANTIG.'!$A$4:$A$39,'TABLA ANTIG.'!$B$4:$B$39)*(P36)</f>
        <v>0</v>
      </c>
      <c r="R36" s="31">
        <f t="shared" si="2"/>
        <v>74.767499999999998</v>
      </c>
      <c r="S36" s="31">
        <f t="shared" si="3"/>
        <v>603.90549999999996</v>
      </c>
      <c r="T36" s="94">
        <f t="shared" si="4"/>
        <v>66.429604999999995</v>
      </c>
      <c r="U36" s="94">
        <f t="shared" si="5"/>
        <v>18.117164999999996</v>
      </c>
      <c r="V36" s="94">
        <f t="shared" si="5"/>
        <v>18.117164999999996</v>
      </c>
      <c r="W36" s="94">
        <f t="shared" si="6"/>
        <v>12.078109999999999</v>
      </c>
      <c r="X36" s="94">
        <f t="shared" si="7"/>
        <v>27.175747499999996</v>
      </c>
      <c r="Y36" s="31">
        <f t="shared" si="8"/>
        <v>141.91779249999999</v>
      </c>
      <c r="Z36" s="168">
        <f t="shared" si="9"/>
        <v>461.98770749999994</v>
      </c>
      <c r="AA36" s="94">
        <f>IF(D36&gt;38,'DATOS REFERENCIALES'!$D$10,'DATOS REFERENCIALES'!$E$10*D36)</f>
        <v>68.105000000000004</v>
      </c>
      <c r="AB36" s="94">
        <f>IF((IF(H36&gt;1119,('DATOS REFERENCIALES'!$C$9-(S36-T36-U36-V36-W36-X36+AA36)),('DATOS REFERENCIALES'!$C$9/20*D36)-(K36+N36+O36+P36+Q36+R36-T36-U36-V36-W36-X36+AA36)))&lt;0,0,IF(H36&gt;1119,(('DATOS REFERENCIALES'!$C$9/20*D36)-(S36-T36-U36-V36-W36-X36+AA36)),('DATOS REFERENCIALES'!$C$9/20*D36)-(K36+N36+O36+P36+Q36+R36-T36-U36-V36-W36-X36+AA36)))</f>
        <v>200.45729249999999</v>
      </c>
      <c r="AC36" s="94">
        <f t="shared" si="10"/>
        <v>730.55</v>
      </c>
      <c r="AD36" s="106">
        <f>IF(D36&gt;30,'DATOS REFERENCIALES'!$D$13,('DATOS REFERENCIALES'!$E$13*D36))</f>
        <v>80.666659999999993</v>
      </c>
      <c r="AE36" s="308">
        <f>IF(D36&gt;'DATOS REFERENCIALES'!$I$15,'DATOS REFERENCIALES'!$D$15,'DATOS REFERENCIALES'!$E$15*D36)</f>
        <v>0</v>
      </c>
      <c r="AF36" s="150">
        <f>IF(D36&gt;'DATOS REFERENCIALES'!$I$11,'DATOS REFERENCIALES'!$D$11,'DATOS REFERENCIALES'!$E$11*D36)</f>
        <v>21.34</v>
      </c>
      <c r="AG36" s="94">
        <f>IF(D36&gt;'DATOS REFERENCIALES'!$I$12,'DATOS REFERENCIALES'!$D$12,'DATOS REFERENCIALES'!$E$12*D36)</f>
        <v>14</v>
      </c>
      <c r="AH36" s="94">
        <f t="shared" si="11"/>
        <v>846.55665999999997</v>
      </c>
      <c r="AI36" s="13"/>
      <c r="AJ36" s="13"/>
      <c r="AK36" s="13"/>
      <c r="AL36" s="18"/>
      <c r="AM36" s="19"/>
      <c r="AN36" s="19"/>
      <c r="AR36" s="8"/>
    </row>
    <row r="37" spans="1:44" s="1" customFormat="1" ht="21.75" customHeight="1" x14ac:dyDescent="0.2">
      <c r="A37" s="47">
        <v>6541</v>
      </c>
      <c r="B37" s="261" t="s">
        <v>52</v>
      </c>
      <c r="C37" s="46">
        <v>0</v>
      </c>
      <c r="D37" s="27">
        <v>1</v>
      </c>
      <c r="E37" s="200"/>
      <c r="F37" s="68"/>
      <c r="G37" s="76">
        <v>56</v>
      </c>
      <c r="H37" s="60">
        <f t="shared" si="0"/>
        <v>56</v>
      </c>
      <c r="I37" s="60"/>
      <c r="J37" s="60"/>
      <c r="K37" s="104">
        <f>(H37*'DATOS REFERENCIALES'!$C$4)*D37</f>
        <v>306.88</v>
      </c>
      <c r="L37" s="104"/>
      <c r="M37" s="104"/>
      <c r="N37" s="94">
        <f>LOOKUP(C37,'TABLA ANTIG.'!$A$4:$A$39,'TABLA ANTIG.'!$B$4:$B$39)*(K37)</f>
        <v>0</v>
      </c>
      <c r="O37" s="113">
        <f t="shared" si="1"/>
        <v>30.688000000000002</v>
      </c>
      <c r="P37" s="104">
        <f>IF(D37&gt;48,'DATOS REFERENCIALES'!$D$8+('DATOS REFERENCIALES'!$F$8*10),IF(D37&lt;39,'DATOS REFERENCIALES'!$E$8*D37,((D37-'DATOS REFERENCIALES'!$I$8)*'DATOS REFERENCIALES'!$F$8)+'DATOS REFERENCIALES'!$D$8))</f>
        <v>191.57</v>
      </c>
      <c r="Q37" s="150">
        <f>LOOKUP(C37,'TABLA ANTIG.'!$A$4:$A$39,'TABLA ANTIG.'!$B$4:$B$39)*(P37)</f>
        <v>0</v>
      </c>
      <c r="R37" s="31">
        <f t="shared" si="2"/>
        <v>74.767499999999998</v>
      </c>
      <c r="S37" s="31">
        <f t="shared" si="3"/>
        <v>603.90549999999996</v>
      </c>
      <c r="T37" s="94">
        <f t="shared" si="4"/>
        <v>66.429604999999995</v>
      </c>
      <c r="U37" s="94">
        <f t="shared" si="5"/>
        <v>18.117164999999996</v>
      </c>
      <c r="V37" s="94">
        <f t="shared" si="5"/>
        <v>18.117164999999996</v>
      </c>
      <c r="W37" s="94">
        <f t="shared" si="6"/>
        <v>12.078109999999999</v>
      </c>
      <c r="X37" s="94">
        <f t="shared" si="7"/>
        <v>27.175747499999996</v>
      </c>
      <c r="Y37" s="31">
        <f t="shared" si="8"/>
        <v>141.91779249999999</v>
      </c>
      <c r="Z37" s="168">
        <f t="shared" si="9"/>
        <v>461.98770749999994</v>
      </c>
      <c r="AA37" s="94">
        <f>IF(D37&gt;38,'DATOS REFERENCIALES'!$D$10,'DATOS REFERENCIALES'!$E$10*D37)</f>
        <v>68.105000000000004</v>
      </c>
      <c r="AB37" s="94">
        <f>IF((IF(H37&gt;1119,('DATOS REFERENCIALES'!$C$9-(S37-T37-U37-V37-W37-X37+AA37)),('DATOS REFERENCIALES'!$C$9/20*D37)-(K37+N37+O37+P37+Q37+R37-T37-U37-V37-W37-X37+AA37)))&lt;0,0,IF(H37&gt;1119,(('DATOS REFERENCIALES'!$C$9/20*D37)-(S37-T37-U37-V37-W37-X37+AA37)),('DATOS REFERENCIALES'!$C$9/20*D37)-(K37+N37+O37+P37+Q37+R37-T37-U37-V37-W37-X37+AA37)))</f>
        <v>200.45729249999999</v>
      </c>
      <c r="AC37" s="94">
        <f t="shared" si="10"/>
        <v>730.55</v>
      </c>
      <c r="AD37" s="106">
        <f>IF(D37&gt;30,'DATOS REFERENCIALES'!$D$13,('DATOS REFERENCIALES'!$E$13*D37))</f>
        <v>80.666659999999993</v>
      </c>
      <c r="AE37" s="308">
        <f>IF(D37&gt;'DATOS REFERENCIALES'!$I$15,'DATOS REFERENCIALES'!$D$15,'DATOS REFERENCIALES'!$E$15*D37)</f>
        <v>0</v>
      </c>
      <c r="AF37" s="150">
        <f>IF(D37&gt;'DATOS REFERENCIALES'!$I$11,'DATOS REFERENCIALES'!$D$11,'DATOS REFERENCIALES'!$E$11*D37)</f>
        <v>21.34</v>
      </c>
      <c r="AG37" s="94">
        <f>IF(D37&gt;'DATOS REFERENCIALES'!$I$12,'DATOS REFERENCIALES'!$D$12,'DATOS REFERENCIALES'!$E$12*D37)</f>
        <v>14</v>
      </c>
      <c r="AH37" s="94">
        <f t="shared" si="11"/>
        <v>846.55665999999997</v>
      </c>
      <c r="AI37" s="13"/>
      <c r="AJ37" s="13"/>
      <c r="AK37" s="13"/>
      <c r="AL37" s="18"/>
      <c r="AM37" s="19"/>
      <c r="AN37" s="19"/>
      <c r="AR37" s="8"/>
    </row>
    <row r="38" spans="1:44" s="1" customFormat="1" ht="21.75" customHeight="1" x14ac:dyDescent="0.2">
      <c r="A38" s="47">
        <v>6850</v>
      </c>
      <c r="B38" s="261" t="s">
        <v>23</v>
      </c>
      <c r="C38" s="46">
        <v>0</v>
      </c>
      <c r="D38" s="27">
        <v>1</v>
      </c>
      <c r="E38" s="200"/>
      <c r="F38" s="68"/>
      <c r="G38" s="76">
        <v>56</v>
      </c>
      <c r="H38" s="60">
        <f t="shared" si="0"/>
        <v>56</v>
      </c>
      <c r="I38" s="60"/>
      <c r="J38" s="60"/>
      <c r="K38" s="104">
        <f>(H38*'DATOS REFERENCIALES'!$C$4)*D38</f>
        <v>306.88</v>
      </c>
      <c r="L38" s="104"/>
      <c r="M38" s="104"/>
      <c r="N38" s="94">
        <f>LOOKUP(C38,'TABLA ANTIG.'!$A$4:$A$39,'TABLA ANTIG.'!$B$4:$B$39)*(K38)</f>
        <v>0</v>
      </c>
      <c r="O38" s="113">
        <f t="shared" si="1"/>
        <v>30.688000000000002</v>
      </c>
      <c r="P38" s="104">
        <f>IF(D38&gt;48,'DATOS REFERENCIALES'!$D$8+('DATOS REFERENCIALES'!$F$8*10),IF(D38&lt;39,'DATOS REFERENCIALES'!$E$8*D38,((D38-'DATOS REFERENCIALES'!$I$8)*'DATOS REFERENCIALES'!$F$8)+'DATOS REFERENCIALES'!$D$8))</f>
        <v>191.57</v>
      </c>
      <c r="Q38" s="150">
        <f>LOOKUP(C38,'TABLA ANTIG.'!$A$4:$A$39,'TABLA ANTIG.'!$B$4:$B$39)*(P38)</f>
        <v>0</v>
      </c>
      <c r="R38" s="31">
        <f t="shared" si="2"/>
        <v>74.767499999999998</v>
      </c>
      <c r="S38" s="31">
        <f t="shared" si="3"/>
        <v>603.90549999999996</v>
      </c>
      <c r="T38" s="94">
        <f t="shared" si="4"/>
        <v>66.429604999999995</v>
      </c>
      <c r="U38" s="94">
        <f t="shared" si="5"/>
        <v>18.117164999999996</v>
      </c>
      <c r="V38" s="94">
        <f t="shared" si="5"/>
        <v>18.117164999999996</v>
      </c>
      <c r="W38" s="94">
        <f t="shared" si="6"/>
        <v>12.078109999999999</v>
      </c>
      <c r="X38" s="94">
        <f t="shared" si="7"/>
        <v>27.175747499999996</v>
      </c>
      <c r="Y38" s="31">
        <f t="shared" si="8"/>
        <v>141.91779249999999</v>
      </c>
      <c r="Z38" s="168">
        <f t="shared" si="9"/>
        <v>461.98770749999994</v>
      </c>
      <c r="AA38" s="94">
        <f>IF(D38&gt;38,'DATOS REFERENCIALES'!$D$10,'DATOS REFERENCIALES'!$E$10*D38)</f>
        <v>68.105000000000004</v>
      </c>
      <c r="AB38" s="94">
        <f>IF((IF(H38&gt;1119,('DATOS REFERENCIALES'!$C$9-(S38-T38-U38-V38-W38-X38+AA38)),('DATOS REFERENCIALES'!$C$9/20*D38)-(K38+N38+O38+P38+Q38+R38-T38-U38-V38-W38-X38+AA38)))&lt;0,0,IF(H38&gt;1119,(('DATOS REFERENCIALES'!$C$9/20*D38)-(S38-T38-U38-V38-W38-X38+AA38)),('DATOS REFERENCIALES'!$C$9/20*D38)-(K38+N38+O38+P38+Q38+R38-T38-U38-V38-W38-X38+AA38)))</f>
        <v>200.45729249999999</v>
      </c>
      <c r="AC38" s="94">
        <f t="shared" si="10"/>
        <v>730.55</v>
      </c>
      <c r="AD38" s="106">
        <f>IF(D38&gt;30,'DATOS REFERENCIALES'!$D$13,('DATOS REFERENCIALES'!$E$13*D38))</f>
        <v>80.666659999999993</v>
      </c>
      <c r="AE38" s="308">
        <f>IF(D38&gt;'DATOS REFERENCIALES'!$I$15,'DATOS REFERENCIALES'!$D$15,'DATOS REFERENCIALES'!$E$15*D38)</f>
        <v>0</v>
      </c>
      <c r="AF38" s="150">
        <f>IF(D38&gt;'DATOS REFERENCIALES'!$I$11,'DATOS REFERENCIALES'!$D$11,'DATOS REFERENCIALES'!$E$11*D38)</f>
        <v>21.34</v>
      </c>
      <c r="AG38" s="94">
        <f>IF(D38&gt;'DATOS REFERENCIALES'!$I$12,'DATOS REFERENCIALES'!$D$12,'DATOS REFERENCIALES'!$E$12*D38)</f>
        <v>14</v>
      </c>
      <c r="AH38" s="94">
        <f t="shared" si="11"/>
        <v>846.55665999999997</v>
      </c>
      <c r="AI38" s="13"/>
      <c r="AJ38" s="13"/>
      <c r="AK38" s="13"/>
      <c r="AL38" s="18"/>
      <c r="AM38" s="19"/>
      <c r="AN38" s="19"/>
      <c r="AR38" s="8"/>
    </row>
    <row r="39" spans="1:44" s="1" customFormat="1" ht="21.75" customHeight="1" x14ac:dyDescent="0.2">
      <c r="A39" s="47">
        <v>6546</v>
      </c>
      <c r="B39" s="261" t="s">
        <v>20</v>
      </c>
      <c r="C39" s="46">
        <v>0</v>
      </c>
      <c r="D39" s="27">
        <v>1</v>
      </c>
      <c r="E39" s="201"/>
      <c r="F39" s="46"/>
      <c r="G39" s="75">
        <v>74.67</v>
      </c>
      <c r="H39" s="61">
        <f t="shared" si="0"/>
        <v>74.67</v>
      </c>
      <c r="I39" s="61"/>
      <c r="J39" s="61"/>
      <c r="K39" s="104">
        <f>(H39*'DATOS REFERENCIALES'!$C$4)*D39</f>
        <v>409.19160000000005</v>
      </c>
      <c r="L39" s="104"/>
      <c r="M39" s="104"/>
      <c r="N39" s="94">
        <f>LOOKUP(C39,'TABLA ANTIG.'!$A$4:$A$39,'TABLA ANTIG.'!$B$4:$B$39)*(K39)</f>
        <v>0</v>
      </c>
      <c r="O39" s="113">
        <f t="shared" si="1"/>
        <v>40.919160000000005</v>
      </c>
      <c r="P39" s="104">
        <f>IF(D39&gt;48,'DATOS REFERENCIALES'!$D$8+('DATOS REFERENCIALES'!$F$8*10),IF(D39&lt;39,'DATOS REFERENCIALES'!$E$8*D39,((D39-'DATOS REFERENCIALES'!$I$8)*'DATOS REFERENCIALES'!$F$8)+'DATOS REFERENCIALES'!$D$8))</f>
        <v>191.57</v>
      </c>
      <c r="Q39" s="150">
        <f>LOOKUP(C39,'TABLA ANTIG.'!$A$4:$A$39,'TABLA ANTIG.'!$B$4:$B$39)*(P39)</f>
        <v>0</v>
      </c>
      <c r="R39" s="31">
        <f t="shared" si="2"/>
        <v>90.114240000000009</v>
      </c>
      <c r="S39" s="31">
        <f t="shared" si="3"/>
        <v>731.79499999999996</v>
      </c>
      <c r="T39" s="94">
        <f t="shared" si="4"/>
        <v>80.497450000000001</v>
      </c>
      <c r="U39" s="94">
        <f t="shared" si="5"/>
        <v>21.953849999999999</v>
      </c>
      <c r="V39" s="94">
        <f t="shared" si="5"/>
        <v>21.953849999999999</v>
      </c>
      <c r="W39" s="94">
        <f t="shared" si="6"/>
        <v>14.635899999999999</v>
      </c>
      <c r="X39" s="94">
        <f t="shared" si="7"/>
        <v>32.930774999999997</v>
      </c>
      <c r="Y39" s="31">
        <f t="shared" si="8"/>
        <v>171.97182500000002</v>
      </c>
      <c r="Z39" s="168">
        <f t="shared" si="9"/>
        <v>559.82317499999999</v>
      </c>
      <c r="AA39" s="94">
        <f>IF(D39&gt;38,'DATOS REFERENCIALES'!$D$10,'DATOS REFERENCIALES'!$E$10*D39)</f>
        <v>68.105000000000004</v>
      </c>
      <c r="AB39" s="94">
        <f>IF((IF(H39&gt;1119,('DATOS REFERENCIALES'!$C$9-(S39-T39-U39-V39-W39-X39+AA39)),('DATOS REFERENCIALES'!$C$9/20*D39)-(K39+N39+O39+P39+Q39+R39-T39-U39-V39-W39-X39+AA39)))&lt;0,0,IF(H39&gt;1119,(('DATOS REFERENCIALES'!$C$9/20*D39)-(S39-T39-U39-V39-W39-X39+AA39)),('DATOS REFERENCIALES'!$C$9/20*D39)-(K39+N39+O39+P39+Q39+R39-T39-U39-V39-W39-X39+AA39)))</f>
        <v>102.62182499999994</v>
      </c>
      <c r="AC39" s="94">
        <f t="shared" si="10"/>
        <v>730.55</v>
      </c>
      <c r="AD39" s="106">
        <f>IF(D39&gt;30,'DATOS REFERENCIALES'!$D$13,('DATOS REFERENCIALES'!$E$13*D39))</f>
        <v>80.666659999999993</v>
      </c>
      <c r="AE39" s="308">
        <f>IF(H39&gt;1119,'DATOS REFERENCIALES'!$C$15,'DATOS REFERENCIALES'!$C$15/1120*H39)</f>
        <v>0</v>
      </c>
      <c r="AF39" s="150">
        <f>IF(D39&gt;'DATOS REFERENCIALES'!$I$11,'DATOS REFERENCIALES'!$D$11,'DATOS REFERENCIALES'!$E$11*D39)</f>
        <v>21.34</v>
      </c>
      <c r="AG39" s="94">
        <f>IF(D39&gt;'DATOS REFERENCIALES'!$I$12,'DATOS REFERENCIALES'!$D$12,'DATOS REFERENCIALES'!$E$12*D39)</f>
        <v>14</v>
      </c>
      <c r="AH39" s="94">
        <f t="shared" si="11"/>
        <v>846.55665999999997</v>
      </c>
      <c r="AI39" s="13"/>
      <c r="AJ39" s="13"/>
      <c r="AK39" s="13"/>
      <c r="AL39" s="18"/>
      <c r="AM39" s="19"/>
      <c r="AN39" s="19"/>
      <c r="AR39" s="8"/>
    </row>
    <row r="40" spans="1:44" s="1" customFormat="1" ht="21.75" customHeight="1" x14ac:dyDescent="0.2">
      <c r="A40" s="139">
        <v>6571</v>
      </c>
      <c r="B40" s="260" t="s">
        <v>21</v>
      </c>
      <c r="C40" s="199">
        <v>0</v>
      </c>
      <c r="D40" s="27">
        <v>1</v>
      </c>
      <c r="E40" s="56"/>
      <c r="F40" s="77"/>
      <c r="G40" s="78">
        <v>56</v>
      </c>
      <c r="H40" s="142">
        <f t="shared" si="0"/>
        <v>56</v>
      </c>
      <c r="I40" s="142"/>
      <c r="J40" s="142"/>
      <c r="K40" s="104">
        <f>(H40*'DATOS REFERENCIALES'!$C$4)*D40</f>
        <v>306.88</v>
      </c>
      <c r="L40" s="104"/>
      <c r="M40" s="104"/>
      <c r="N40" s="94">
        <f>LOOKUP(C40,'TABLA ANTIG.'!$A$4:$A$39,'TABLA ANTIG.'!$B$4:$B$39)*(K40)</f>
        <v>0</v>
      </c>
      <c r="O40" s="113">
        <f t="shared" si="1"/>
        <v>30.688000000000002</v>
      </c>
      <c r="P40" s="104">
        <f>IF(D40&gt;48,'DATOS REFERENCIALES'!$D$8+('DATOS REFERENCIALES'!$F$8*10),IF(D40&lt;39,'DATOS REFERENCIALES'!$E$8*D40,((D40-'DATOS REFERENCIALES'!$I$8)*'DATOS REFERENCIALES'!$F$8)+'DATOS REFERENCIALES'!$D$8))</f>
        <v>191.57</v>
      </c>
      <c r="Q40" s="150">
        <f>LOOKUP(C40,'TABLA ANTIG.'!$A$4:$A$39,'TABLA ANTIG.'!$B$4:$B$39)*(P40)</f>
        <v>0</v>
      </c>
      <c r="R40" s="31">
        <f t="shared" si="2"/>
        <v>74.767499999999998</v>
      </c>
      <c r="S40" s="31">
        <f t="shared" si="3"/>
        <v>603.90549999999996</v>
      </c>
      <c r="T40" s="94">
        <f t="shared" si="4"/>
        <v>66.429604999999995</v>
      </c>
      <c r="U40" s="94">
        <f t="shared" si="5"/>
        <v>18.117164999999996</v>
      </c>
      <c r="V40" s="94">
        <f t="shared" si="5"/>
        <v>18.117164999999996</v>
      </c>
      <c r="W40" s="94">
        <f t="shared" si="6"/>
        <v>12.078109999999999</v>
      </c>
      <c r="X40" s="94">
        <f t="shared" si="7"/>
        <v>27.175747499999996</v>
      </c>
      <c r="Y40" s="31">
        <f t="shared" si="8"/>
        <v>141.91779249999999</v>
      </c>
      <c r="Z40" s="168">
        <f t="shared" si="9"/>
        <v>461.98770749999994</v>
      </c>
      <c r="AA40" s="94">
        <f>IF(D40&gt;38,'DATOS REFERENCIALES'!$D$10,'DATOS REFERENCIALES'!$E$10*D40)</f>
        <v>68.105000000000004</v>
      </c>
      <c r="AB40" s="94">
        <f>IF((IF(H40&gt;1119,('DATOS REFERENCIALES'!$C$9-(S40-T40-U40-V40-W40-X40+AA40)),('DATOS REFERENCIALES'!$C$9/20*D40)-(K40+N40+O40+P40+Q40+R40-T40-U40-V40-W40-X40+AA40)))&lt;0,0,IF(H40&gt;1119,(('DATOS REFERENCIALES'!$C$9/20*D40)-(S40-T40-U40-V40-W40-X40+AA40)),('DATOS REFERENCIALES'!$C$9/20*D40)-(K40+N40+O40+P40+Q40+R40-T40-U40-V40-W40-X40+AA40)))</f>
        <v>200.45729249999999</v>
      </c>
      <c r="AC40" s="94">
        <f t="shared" si="10"/>
        <v>730.55</v>
      </c>
      <c r="AD40" s="106">
        <f>IF(D40&gt;30,'DATOS REFERENCIALES'!$D$13,('DATOS REFERENCIALES'!$E$13*D40))</f>
        <v>80.666659999999993</v>
      </c>
      <c r="AE40" s="308">
        <f>IF(D40&gt;'DATOS REFERENCIALES'!$I$15,'DATOS REFERENCIALES'!$D$15,'DATOS REFERENCIALES'!$E$15*D40)</f>
        <v>0</v>
      </c>
      <c r="AF40" s="150">
        <f>IF(D40&gt;'DATOS REFERENCIALES'!$I$11,'DATOS REFERENCIALES'!$D$11,'DATOS REFERENCIALES'!$E$11*D40)</f>
        <v>21.34</v>
      </c>
      <c r="AG40" s="94">
        <f>IF(D40&gt;'DATOS REFERENCIALES'!$I$12,'DATOS REFERENCIALES'!$D$12,'DATOS REFERENCIALES'!$E$12*D40)</f>
        <v>14</v>
      </c>
      <c r="AH40" s="94">
        <f t="shared" si="11"/>
        <v>846.55665999999997</v>
      </c>
      <c r="AI40" s="13"/>
      <c r="AJ40" s="13"/>
      <c r="AK40" s="13"/>
      <c r="AL40" s="18"/>
      <c r="AM40" s="19"/>
      <c r="AN40" s="19"/>
      <c r="AR40" s="8"/>
    </row>
    <row r="41" spans="1:44" s="1" customFormat="1" ht="21.75" customHeight="1" x14ac:dyDescent="0.2">
      <c r="A41" s="47">
        <v>6508</v>
      </c>
      <c r="B41" s="262" t="s">
        <v>62</v>
      </c>
      <c r="C41" s="46">
        <v>0</v>
      </c>
      <c r="D41" s="27">
        <v>1</v>
      </c>
      <c r="E41" s="200"/>
      <c r="F41" s="68"/>
      <c r="G41" s="76">
        <v>56</v>
      </c>
      <c r="H41" s="60">
        <f t="shared" si="0"/>
        <v>56</v>
      </c>
      <c r="I41" s="60"/>
      <c r="J41" s="60"/>
      <c r="K41" s="104">
        <f>(H41*'DATOS REFERENCIALES'!$C$4)*D41</f>
        <v>306.88</v>
      </c>
      <c r="L41" s="104"/>
      <c r="M41" s="104"/>
      <c r="N41" s="94">
        <f>LOOKUP(C41,'TABLA ANTIG.'!$A$4:$A$39,'TABLA ANTIG.'!$B$4:$B$39)*(K41)</f>
        <v>0</v>
      </c>
      <c r="O41" s="113">
        <f t="shared" si="1"/>
        <v>30.688000000000002</v>
      </c>
      <c r="P41" s="104">
        <f>IF(D41&gt;48,'DATOS REFERENCIALES'!$D$8+('DATOS REFERENCIALES'!$F$8*10),IF(D41&lt;39,'DATOS REFERENCIALES'!$E$8*D41,((D41-'DATOS REFERENCIALES'!$I$8)*'DATOS REFERENCIALES'!$F$8)+'DATOS REFERENCIALES'!$D$8))</f>
        <v>191.57</v>
      </c>
      <c r="Q41" s="150">
        <f>LOOKUP(C41,'TABLA ANTIG.'!$A$4:$A$39,'TABLA ANTIG.'!$B$4:$B$39)*(P41)</f>
        <v>0</v>
      </c>
      <c r="R41" s="31">
        <f t="shared" si="2"/>
        <v>74.767499999999998</v>
      </c>
      <c r="S41" s="31">
        <f t="shared" si="3"/>
        <v>603.90549999999996</v>
      </c>
      <c r="T41" s="94">
        <f t="shared" si="4"/>
        <v>66.429604999999995</v>
      </c>
      <c r="U41" s="94">
        <f t="shared" si="5"/>
        <v>18.117164999999996</v>
      </c>
      <c r="V41" s="94">
        <f t="shared" si="5"/>
        <v>18.117164999999996</v>
      </c>
      <c r="W41" s="94">
        <f t="shared" si="6"/>
        <v>12.078109999999999</v>
      </c>
      <c r="X41" s="94">
        <f t="shared" si="7"/>
        <v>27.175747499999996</v>
      </c>
      <c r="Y41" s="31">
        <f t="shared" si="8"/>
        <v>141.91779249999999</v>
      </c>
      <c r="Z41" s="168">
        <f t="shared" si="9"/>
        <v>461.98770749999994</v>
      </c>
      <c r="AA41" s="94">
        <f>IF(D41&gt;38,'DATOS REFERENCIALES'!$D$10,'DATOS REFERENCIALES'!$E$10*D41)</f>
        <v>68.105000000000004</v>
      </c>
      <c r="AB41" s="94">
        <f>IF((IF(H41&gt;1119,('DATOS REFERENCIALES'!$C$9-(S41-T41-U41-V41-W41-X41+AA41)),('DATOS REFERENCIALES'!$C$9/20*D41)-(K41+N41+O41+P41+Q41+R41-T41-U41-V41-W41-X41+AA41)))&lt;0,0,IF(H41&gt;1119,(('DATOS REFERENCIALES'!$C$9/20*D41)-(S41-T41-U41-V41-W41-X41+AA41)),('DATOS REFERENCIALES'!$C$9/20*D41)-(K41+N41+O41+P41+Q41+R41-T41-U41-V41-W41-X41+AA41)))</f>
        <v>200.45729249999999</v>
      </c>
      <c r="AC41" s="94">
        <f t="shared" si="10"/>
        <v>730.55</v>
      </c>
      <c r="AD41" s="106">
        <f>IF(D41&gt;30,'DATOS REFERENCIALES'!$D$13,('DATOS REFERENCIALES'!$E$13*D41))</f>
        <v>80.666659999999993</v>
      </c>
      <c r="AE41" s="308">
        <f>IF(D41&gt;'DATOS REFERENCIALES'!$I$15,'DATOS REFERENCIALES'!$D$15,'DATOS REFERENCIALES'!$E$15*D41)</f>
        <v>0</v>
      </c>
      <c r="AF41" s="150">
        <f>IF(D41&gt;'DATOS REFERENCIALES'!$I$11,'DATOS REFERENCIALES'!$D$11,'DATOS REFERENCIALES'!$E$11*D41)</f>
        <v>21.34</v>
      </c>
      <c r="AG41" s="94">
        <f>IF(D41&gt;'DATOS REFERENCIALES'!$I$12,'DATOS REFERENCIALES'!$D$12,'DATOS REFERENCIALES'!$E$12*D41)</f>
        <v>14</v>
      </c>
      <c r="AH41" s="94">
        <f t="shared" si="11"/>
        <v>846.55665999999997</v>
      </c>
      <c r="AI41" s="13"/>
      <c r="AJ41" s="13"/>
      <c r="AK41" s="13"/>
      <c r="AL41" s="18"/>
      <c r="AM41" s="19"/>
      <c r="AN41" s="19"/>
      <c r="AR41" s="8"/>
    </row>
    <row r="42" spans="1:44" s="1" customFormat="1" ht="21.75" customHeight="1" thickBot="1" x14ac:dyDescent="0.25">
      <c r="A42" s="69">
        <v>6536</v>
      </c>
      <c r="B42" s="263" t="s">
        <v>101</v>
      </c>
      <c r="C42" s="66">
        <v>0</v>
      </c>
      <c r="D42" s="28">
        <v>1</v>
      </c>
      <c r="E42" s="202"/>
      <c r="F42" s="66"/>
      <c r="G42" s="79">
        <v>56</v>
      </c>
      <c r="H42" s="130">
        <f t="shared" si="0"/>
        <v>56</v>
      </c>
      <c r="I42" s="130"/>
      <c r="J42" s="130"/>
      <c r="K42" s="105">
        <f>(H42*'DATOS REFERENCIALES'!$C$4)*D42</f>
        <v>306.88</v>
      </c>
      <c r="L42" s="105"/>
      <c r="M42" s="105"/>
      <c r="N42" s="95">
        <f>LOOKUP(C42,'TABLA ANTIG.'!$A$4:$A$39,'TABLA ANTIG.'!$B$4:$B$39)*(K42)</f>
        <v>0</v>
      </c>
      <c r="O42" s="114">
        <f t="shared" si="1"/>
        <v>30.688000000000002</v>
      </c>
      <c r="P42" s="105">
        <f>IF(D42&gt;48,'DATOS REFERENCIALES'!$D$8+('DATOS REFERENCIALES'!$F$8*10),IF(D42&lt;39,'DATOS REFERENCIALES'!$E$8*D42,((D42-'DATOS REFERENCIALES'!$I$8)*'DATOS REFERENCIALES'!$F$8)+'DATOS REFERENCIALES'!$D$8))</f>
        <v>191.57</v>
      </c>
      <c r="Q42" s="151">
        <f>LOOKUP(C42,'TABLA ANTIG.'!$A$4:$A$39,'TABLA ANTIG.'!$B$4:$B$39)*(P42)</f>
        <v>0</v>
      </c>
      <c r="R42" s="35">
        <f t="shared" si="2"/>
        <v>74.767499999999998</v>
      </c>
      <c r="S42" s="35">
        <f t="shared" si="3"/>
        <v>603.90549999999996</v>
      </c>
      <c r="T42" s="95">
        <f t="shared" si="4"/>
        <v>66.429604999999995</v>
      </c>
      <c r="U42" s="95">
        <f t="shared" si="5"/>
        <v>18.117164999999996</v>
      </c>
      <c r="V42" s="95">
        <f t="shared" si="5"/>
        <v>18.117164999999996</v>
      </c>
      <c r="W42" s="95">
        <f t="shared" si="6"/>
        <v>12.078109999999999</v>
      </c>
      <c r="X42" s="95">
        <f t="shared" si="7"/>
        <v>27.175747499999996</v>
      </c>
      <c r="Y42" s="35">
        <f t="shared" si="8"/>
        <v>141.91779249999999</v>
      </c>
      <c r="Z42" s="171">
        <f t="shared" si="9"/>
        <v>461.98770749999994</v>
      </c>
      <c r="AA42" s="169">
        <f>IF(D42&gt;38,'DATOS REFERENCIALES'!$D$10,'DATOS REFERENCIALES'!$E$10*D42)</f>
        <v>68.105000000000004</v>
      </c>
      <c r="AB42" s="95">
        <f>IF((IF(H42&gt;1119,('DATOS REFERENCIALES'!$C$9-(S42-T42-U42-V42-W42-X42+AA42)),('DATOS REFERENCIALES'!$C$9/20*D42)-(K42+N42+O42+P42+Q42+R42-T42-U42-V42-W42-X42+AA42)))&lt;0,0,IF(H42&gt;1119,(('DATOS REFERENCIALES'!$C$9/20*D42)-(S42-T42-U42-V42-W42-X42+AA42)),('DATOS REFERENCIALES'!$C$9/20*D42)-(K42+N42+O42+P42+Q42+R42-T42-U42-V42-W42-X42+AA42)))</f>
        <v>200.45729249999999</v>
      </c>
      <c r="AC42" s="169">
        <f t="shared" si="10"/>
        <v>730.55</v>
      </c>
      <c r="AD42" s="107">
        <f>IF(D42&gt;30,'DATOS REFERENCIALES'!$D$13,('DATOS REFERENCIALES'!$E$13*D42))</f>
        <v>80.666659999999993</v>
      </c>
      <c r="AE42" s="306">
        <f>IF(D42&gt;'DATOS REFERENCIALES'!$I$15,'DATOS REFERENCIALES'!$D$15,'DATOS REFERENCIALES'!$E$15*D42)</f>
        <v>0</v>
      </c>
      <c r="AF42" s="151">
        <f>IF(D42&gt;'DATOS REFERENCIALES'!$I$11,'DATOS REFERENCIALES'!$D$11,'DATOS REFERENCIALES'!$E$11*D42)</f>
        <v>21.34</v>
      </c>
      <c r="AG42" s="95">
        <f>IF(D42&gt;'DATOS REFERENCIALES'!$I$12,'DATOS REFERENCIALES'!$D$12,'DATOS REFERENCIALES'!$E$12*D42)</f>
        <v>14</v>
      </c>
      <c r="AH42" s="95">
        <f t="shared" si="11"/>
        <v>846.55665999999997</v>
      </c>
      <c r="AI42" s="13"/>
      <c r="AJ42" s="13"/>
      <c r="AK42" s="13"/>
      <c r="AL42" s="18"/>
      <c r="AM42" s="19"/>
      <c r="AN42" s="19"/>
      <c r="AR42" s="8"/>
    </row>
    <row r="43" spans="1:44" s="1" customFormat="1" ht="18.75" customHeight="1" x14ac:dyDescent="0.2">
      <c r="A43" s="11" t="s">
        <v>51</v>
      </c>
      <c r="B43" s="4" t="s">
        <v>64</v>
      </c>
      <c r="C43" s="15"/>
      <c r="D43" s="15"/>
      <c r="E43" s="15"/>
      <c r="F43" s="15"/>
      <c r="G43" s="21"/>
      <c r="H43" s="21"/>
      <c r="I43" s="21"/>
      <c r="J43" s="21"/>
      <c r="K43" s="22"/>
      <c r="L43" s="22"/>
      <c r="M43" s="22"/>
      <c r="N43" s="23"/>
      <c r="O43" s="23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13"/>
      <c r="AB43" s="23"/>
      <c r="AC43" s="13"/>
      <c r="AD43" s="13"/>
      <c r="AE43" s="13"/>
      <c r="AF43" s="13"/>
      <c r="AG43" s="13"/>
      <c r="AH43" s="13"/>
      <c r="AI43" s="13"/>
      <c r="AJ43" s="13"/>
      <c r="AK43" s="13"/>
      <c r="AL43" s="18"/>
      <c r="AM43" s="19"/>
      <c r="AN43" s="19"/>
      <c r="AR43" s="8"/>
    </row>
  </sheetData>
  <mergeCells count="41">
    <mergeCell ref="K3:Z5"/>
    <mergeCell ref="T9:X9"/>
    <mergeCell ref="AA9:AA10"/>
    <mergeCell ref="AB9:AB10"/>
    <mergeCell ref="L9:L10"/>
    <mergeCell ref="M9:M10"/>
    <mergeCell ref="A6:AH6"/>
    <mergeCell ref="K9:K10"/>
    <mergeCell ref="AF9:AF10"/>
    <mergeCell ref="Y9:Y10"/>
    <mergeCell ref="A7:AH7"/>
    <mergeCell ref="D9:D10"/>
    <mergeCell ref="S9:S10"/>
    <mergeCell ref="A8:D8"/>
    <mergeCell ref="Z9:Z10"/>
    <mergeCell ref="AD9:AD10"/>
    <mergeCell ref="AB8:AH8"/>
    <mergeCell ref="AH9:AH10"/>
    <mergeCell ref="AG9:AG10"/>
    <mergeCell ref="J9:J10"/>
    <mergeCell ref="AC9:AC10"/>
    <mergeCell ref="Q9:Q10"/>
    <mergeCell ref="O9:O10"/>
    <mergeCell ref="AE9:AE10"/>
    <mergeCell ref="A9:A10"/>
    <mergeCell ref="P9:P10"/>
    <mergeCell ref="N9:N10"/>
    <mergeCell ref="B9:B10"/>
    <mergeCell ref="R9:R10"/>
    <mergeCell ref="E9:E10"/>
    <mergeCell ref="F9:F10"/>
    <mergeCell ref="G9:G10"/>
    <mergeCell ref="H9:H10"/>
    <mergeCell ref="C9:C10"/>
    <mergeCell ref="I9:I10"/>
    <mergeCell ref="AH22:AH23"/>
    <mergeCell ref="AH11:AH12"/>
    <mergeCell ref="AH13:AH14"/>
    <mergeCell ref="AH15:AH16"/>
    <mergeCell ref="AH17:AH18"/>
    <mergeCell ref="AH19:AH2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'DATOS REFERENCIALES'!$C$36:$C$38</xm:f>
          </x14:formula1>
          <xm:sqref>J12 J18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71"/>
  <sheetViews>
    <sheetView zoomScale="66" zoomScaleNormal="66" workbookViewId="0">
      <selection activeCell="O65" sqref="O65"/>
    </sheetView>
  </sheetViews>
  <sheetFormatPr baseColWidth="10" defaultRowHeight="12.75" x14ac:dyDescent="0.2"/>
  <cols>
    <col min="1" max="1" width="8.7109375" bestFit="1" customWidth="1"/>
    <col min="2" max="2" width="39.5703125" bestFit="1" customWidth="1"/>
    <col min="4" max="4" width="10.140625" customWidth="1"/>
    <col min="5" max="5" width="13.140625" hidden="1" customWidth="1"/>
    <col min="6" max="7" width="0" hidden="1" customWidth="1"/>
    <col min="9" max="10" width="14" customWidth="1"/>
    <col min="11" max="11" width="15.28515625" customWidth="1"/>
    <col min="12" max="12" width="14.7109375" customWidth="1"/>
    <col min="13" max="13" width="15.28515625" customWidth="1"/>
    <col min="14" max="14" width="17.42578125" customWidth="1"/>
    <col min="15" max="15" width="18.5703125" customWidth="1"/>
    <col min="16" max="16" width="15.7109375" customWidth="1"/>
    <col min="17" max="17" width="16.5703125" customWidth="1"/>
    <col min="18" max="18" width="0" hidden="1" customWidth="1"/>
    <col min="19" max="19" width="15" customWidth="1"/>
    <col min="20" max="20" width="14" customWidth="1"/>
    <col min="21" max="21" width="14.140625" customWidth="1"/>
    <col min="22" max="22" width="13.28515625" customWidth="1"/>
    <col min="24" max="24" width="13.5703125" customWidth="1"/>
    <col min="25" max="25" width="14" customWidth="1"/>
    <col min="26" max="26" width="15.7109375" customWidth="1"/>
    <col min="27" max="27" width="13" customWidth="1"/>
    <col min="28" max="28" width="15.28515625" customWidth="1"/>
    <col min="29" max="29" width="15.42578125" customWidth="1"/>
    <col min="30" max="30" width="14.42578125" customWidth="1"/>
    <col min="31" max="31" width="16.42578125" hidden="1" customWidth="1"/>
    <col min="32" max="33" width="14.42578125" customWidth="1"/>
    <col min="34" max="34" width="15.5703125" customWidth="1"/>
  </cols>
  <sheetData>
    <row r="1" spans="1:44" s="1" customFormat="1" x14ac:dyDescent="0.2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44" s="1" customFormat="1" x14ac:dyDescent="0.2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44" s="1" customFormat="1" ht="12.75" customHeight="1" x14ac:dyDescent="0.2">
      <c r="A3" s="10"/>
      <c r="C3" s="13"/>
      <c r="D3" s="13"/>
      <c r="E3" s="13"/>
      <c r="F3" s="13"/>
      <c r="G3" s="13"/>
      <c r="H3" s="13"/>
      <c r="I3" s="13"/>
      <c r="J3" s="13"/>
      <c r="K3" s="587" t="s">
        <v>88</v>
      </c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44" s="1" customFormat="1" ht="12.75" customHeight="1" x14ac:dyDescent="0.2">
      <c r="A4" s="10"/>
      <c r="C4" s="13"/>
      <c r="D4" s="13"/>
      <c r="E4" s="13"/>
      <c r="F4" s="13"/>
      <c r="G4" s="13"/>
      <c r="H4" s="13"/>
      <c r="I4" s="13"/>
      <c r="J4" s="13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44" s="1" customFormat="1" ht="12.75" customHeight="1" x14ac:dyDescent="0.2">
      <c r="A5" s="10"/>
      <c r="C5" s="13"/>
      <c r="D5" s="13"/>
      <c r="E5" s="13"/>
      <c r="F5" s="13"/>
      <c r="G5" s="13"/>
      <c r="H5" s="13"/>
      <c r="I5" s="13"/>
      <c r="J5" s="13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44" s="1" customFormat="1" ht="27.75" x14ac:dyDescent="0.4">
      <c r="A6" s="607" t="s">
        <v>185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13"/>
      <c r="AJ6" s="13"/>
    </row>
    <row r="7" spans="1:44" s="1" customFormat="1" ht="18.75" thickBot="1" x14ac:dyDescent="0.3">
      <c r="A7" s="608" t="s">
        <v>89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55"/>
      <c r="AE7" s="13"/>
      <c r="AF7" s="13"/>
      <c r="AG7" s="13"/>
      <c r="AH7" s="13"/>
      <c r="AI7" s="13"/>
      <c r="AJ7" s="13"/>
    </row>
    <row r="8" spans="1:44" ht="21" thickBot="1" x14ac:dyDescent="0.35">
      <c r="A8" s="656" t="s">
        <v>139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  <c r="R8" s="657"/>
      <c r="S8" s="657"/>
      <c r="T8" s="657"/>
      <c r="U8" s="657"/>
      <c r="V8" s="657"/>
      <c r="W8" s="657"/>
      <c r="X8" s="657"/>
      <c r="Y8" s="657"/>
      <c r="Z8" s="657"/>
      <c r="AA8" s="657"/>
      <c r="AB8" s="657"/>
      <c r="AC8" s="657"/>
      <c r="AD8" s="657"/>
      <c r="AE8" s="657"/>
      <c r="AF8" s="657"/>
      <c r="AG8" s="657"/>
      <c r="AH8" s="657"/>
    </row>
    <row r="9" spans="1:44" s="2" customFormat="1" ht="26.25" customHeight="1" thickBot="1" x14ac:dyDescent="0.25">
      <c r="A9" s="623" t="s">
        <v>1</v>
      </c>
      <c r="B9" s="623" t="s">
        <v>0</v>
      </c>
      <c r="C9" s="585" t="s">
        <v>83</v>
      </c>
      <c r="D9" s="585" t="s">
        <v>126</v>
      </c>
      <c r="E9" s="585" t="s">
        <v>134</v>
      </c>
      <c r="F9" s="585" t="s">
        <v>120</v>
      </c>
      <c r="G9" s="585" t="s">
        <v>109</v>
      </c>
      <c r="H9" s="585" t="s">
        <v>85</v>
      </c>
      <c r="I9" s="585" t="s">
        <v>156</v>
      </c>
      <c r="J9" s="602" t="s">
        <v>155</v>
      </c>
      <c r="K9" s="602" t="s">
        <v>128</v>
      </c>
      <c r="L9" s="602" t="s">
        <v>154</v>
      </c>
      <c r="M9" s="602" t="s">
        <v>155</v>
      </c>
      <c r="N9" s="596" t="s">
        <v>91</v>
      </c>
      <c r="O9" s="596" t="s">
        <v>127</v>
      </c>
      <c r="P9" s="611" t="s">
        <v>92</v>
      </c>
      <c r="Q9" s="596" t="s">
        <v>108</v>
      </c>
      <c r="R9" s="596" t="s">
        <v>90</v>
      </c>
      <c r="S9" s="596" t="s">
        <v>74</v>
      </c>
      <c r="T9" s="615" t="s">
        <v>63</v>
      </c>
      <c r="U9" s="615"/>
      <c r="V9" s="615"/>
      <c r="W9" s="615"/>
      <c r="X9" s="615"/>
      <c r="Y9" s="585" t="s">
        <v>73</v>
      </c>
      <c r="Z9" s="585" t="s">
        <v>95</v>
      </c>
      <c r="AA9" s="585" t="s">
        <v>94</v>
      </c>
      <c r="AB9" s="585" t="s">
        <v>93</v>
      </c>
      <c r="AC9" s="585" t="s">
        <v>97</v>
      </c>
      <c r="AD9" s="585" t="s">
        <v>96</v>
      </c>
      <c r="AE9" s="585" t="s">
        <v>182</v>
      </c>
      <c r="AF9" s="585" t="s">
        <v>184</v>
      </c>
      <c r="AG9" s="618" t="s">
        <v>183</v>
      </c>
      <c r="AH9" s="585" t="s">
        <v>98</v>
      </c>
      <c r="AI9" s="17"/>
      <c r="AJ9" s="17"/>
      <c r="AK9" s="17"/>
      <c r="AL9" s="18"/>
      <c r="AM9" s="19"/>
      <c r="AN9" s="19"/>
    </row>
    <row r="10" spans="1:44" s="2" customFormat="1" ht="87.75" customHeight="1" thickBot="1" x14ac:dyDescent="0.25">
      <c r="A10" s="645"/>
      <c r="B10" s="645"/>
      <c r="C10" s="626"/>
      <c r="D10" s="626"/>
      <c r="E10" s="626"/>
      <c r="F10" s="626"/>
      <c r="G10" s="626"/>
      <c r="H10" s="626"/>
      <c r="I10" s="586"/>
      <c r="J10" s="603"/>
      <c r="K10" s="648"/>
      <c r="L10" s="648"/>
      <c r="M10" s="648"/>
      <c r="N10" s="629"/>
      <c r="O10" s="629"/>
      <c r="P10" s="612"/>
      <c r="Q10" s="629"/>
      <c r="R10" s="629"/>
      <c r="S10" s="629"/>
      <c r="T10" s="112" t="s">
        <v>148</v>
      </c>
      <c r="U10" s="112" t="s">
        <v>65</v>
      </c>
      <c r="V10" s="112" t="s">
        <v>66</v>
      </c>
      <c r="W10" s="112" t="s">
        <v>67</v>
      </c>
      <c r="X10" s="112" t="s">
        <v>68</v>
      </c>
      <c r="Y10" s="626"/>
      <c r="Z10" s="626"/>
      <c r="AA10" s="626"/>
      <c r="AB10" s="586"/>
      <c r="AC10" s="626"/>
      <c r="AD10" s="626"/>
      <c r="AE10" s="586"/>
      <c r="AF10" s="586"/>
      <c r="AG10" s="586"/>
      <c r="AH10" s="626"/>
      <c r="AI10" s="17"/>
      <c r="AJ10" s="17"/>
      <c r="AK10" s="17"/>
      <c r="AL10" s="18"/>
      <c r="AM10" s="19"/>
      <c r="AN10" s="19"/>
    </row>
    <row r="11" spans="1:44" s="1" customFormat="1" ht="21.75" customHeight="1" thickBot="1" x14ac:dyDescent="0.25">
      <c r="A11" s="266">
        <v>572</v>
      </c>
      <c r="B11" s="267" t="s">
        <v>87</v>
      </c>
      <c r="C11" s="48">
        <v>0</v>
      </c>
      <c r="D11" s="48"/>
      <c r="E11" s="48"/>
      <c r="F11" s="48"/>
      <c r="G11" s="74">
        <v>810</v>
      </c>
      <c r="H11" s="62">
        <f t="shared" ref="H11:H29" si="0">SUM(G11:G11)</f>
        <v>810</v>
      </c>
      <c r="I11" s="62"/>
      <c r="J11" s="62"/>
      <c r="K11" s="118">
        <f>H11*'DATOS REFERENCIALES'!$C$4</f>
        <v>4438.8</v>
      </c>
      <c r="L11" s="268"/>
      <c r="M11" s="268"/>
      <c r="N11" s="269">
        <f>LOOKUP(C11,'TABLA ANTIG.'!$A$4:$A$39,'TABLA ANTIG.'!$B$4:$B$39)*(K11)</f>
        <v>0</v>
      </c>
      <c r="O11" s="270">
        <f t="shared" ref="O11:O29" si="1">K11*0.1</f>
        <v>443.88000000000005</v>
      </c>
      <c r="P11" s="118">
        <f>'DATOS REFERENCIALES'!$C$8</f>
        <v>3640</v>
      </c>
      <c r="Q11" s="271">
        <f>LOOKUP(C11,'TABLA ANTIG.'!$A$4:$A$39,'TABLA ANTIG.'!$B$4:$B$39)*(P11)</f>
        <v>0</v>
      </c>
      <c r="R11" s="272">
        <v>0</v>
      </c>
      <c r="S11" s="226">
        <f t="shared" ref="S11:S29" si="2">K11+N11+O11+P11+Q11+R11</f>
        <v>8522.68</v>
      </c>
      <c r="T11" s="273">
        <f t="shared" ref="T11:T29" si="3">$S11*11%</f>
        <v>937.49480000000005</v>
      </c>
      <c r="U11" s="273">
        <f t="shared" ref="U11:V29" si="4">$S11*3%</f>
        <v>255.68039999999999</v>
      </c>
      <c r="V11" s="273">
        <f t="shared" si="4"/>
        <v>255.68039999999999</v>
      </c>
      <c r="W11" s="273">
        <f t="shared" ref="W11:W29" si="5">$S11*2%</f>
        <v>170.45360000000002</v>
      </c>
      <c r="X11" s="273">
        <f t="shared" ref="X11:X29" si="6">$S11*4.5%</f>
        <v>383.5206</v>
      </c>
      <c r="Y11" s="226">
        <f t="shared" ref="Y11:Y29" si="7">SUM(T11:X11)</f>
        <v>2002.8298000000002</v>
      </c>
      <c r="Z11" s="259">
        <f t="shared" ref="Z11:Z29" si="8">S11-Y11</f>
        <v>6519.8501999999999</v>
      </c>
      <c r="AA11" s="274">
        <f>'DATOS REFERENCIALES'!$C$10</f>
        <v>1294</v>
      </c>
      <c r="AB11" s="220">
        <f>IF((IF(H11&gt;1119,('DATOS REFERENCIALES'!$C$9-(S11-T11-U11-V11-W11-X11+AA11)),(('DATOS REFERENCIALES'!$C$9/1120)*H11)-(K11+N11+O11+P11+Q11+R11-T11-U11-V11-W11-X11+AA11)))&lt;0,0,IF(H11&gt;1119,(('DATOS REFERENCIALES'!$C$9)-(S11-T11-U11-V11-W11-X11+AA11)),(('DATOS REFERENCIALES'!$C$9/1120)*H11)-(K11+N11+O11+P11+Q11+R11-T11-U11-V11-W11-X11+AA11)))</f>
        <v>2753.0337285714295</v>
      </c>
      <c r="AC11" s="271">
        <f t="shared" ref="AC11:AC29" si="9">SUM(Z11:AB11)</f>
        <v>10566.883928571429</v>
      </c>
      <c r="AD11" s="209">
        <f>'DATOS REFERENCIALES'!$C$13</f>
        <v>1210</v>
      </c>
      <c r="AE11" s="309"/>
      <c r="AF11" s="271">
        <f>'DATOS REFERENCIALES'!$C$11</f>
        <v>320</v>
      </c>
      <c r="AG11" s="220">
        <f>'DATOS REFERENCIALES'!$C$12</f>
        <v>210</v>
      </c>
      <c r="AH11" s="220">
        <f>SUM(AC11:AG11)</f>
        <v>12306.883928571429</v>
      </c>
      <c r="AI11" s="13"/>
      <c r="AJ11" s="13"/>
      <c r="AK11" s="13"/>
      <c r="AL11" s="18"/>
      <c r="AM11" s="19"/>
      <c r="AN11" s="19"/>
      <c r="AR11" s="8"/>
    </row>
    <row r="12" spans="1:44" s="1" customFormat="1" ht="21.75" customHeight="1" x14ac:dyDescent="0.2">
      <c r="A12" s="402">
        <v>603</v>
      </c>
      <c r="B12" s="445" t="s">
        <v>25</v>
      </c>
      <c r="C12" s="374">
        <v>0</v>
      </c>
      <c r="D12" s="374"/>
      <c r="E12" s="374"/>
      <c r="F12" s="374"/>
      <c r="G12" s="512">
        <v>3128</v>
      </c>
      <c r="H12" s="476">
        <f t="shared" si="0"/>
        <v>3128</v>
      </c>
      <c r="I12" s="476"/>
      <c r="J12" s="476"/>
      <c r="K12" s="379">
        <f>H12*'DATOS REFERENCIALES'!$C$4</f>
        <v>17141.440000000002</v>
      </c>
      <c r="L12" s="405"/>
      <c r="M12" s="405"/>
      <c r="N12" s="384">
        <f>LOOKUP(C12,'TABLA ANTIG.'!$A$4:$A$39,'TABLA ANTIG.'!$B$4:$B$39)*(K12)</f>
        <v>0</v>
      </c>
      <c r="O12" s="384">
        <f t="shared" si="1"/>
        <v>1714.1440000000002</v>
      </c>
      <c r="P12" s="379">
        <f>'DATOS REFERENCIALES'!$C$8</f>
        <v>3640</v>
      </c>
      <c r="Q12" s="385">
        <f>LOOKUP(C12,'TABLA ANTIG.'!$A$4:$A$39,'TABLA ANTIG.'!$B$4:$B$39)*(P12)</f>
        <v>0</v>
      </c>
      <c r="R12" s="385">
        <v>0</v>
      </c>
      <c r="S12" s="381">
        <f t="shared" si="2"/>
        <v>22495.584000000003</v>
      </c>
      <c r="T12" s="381">
        <f t="shared" si="3"/>
        <v>2474.5142400000004</v>
      </c>
      <c r="U12" s="381">
        <f t="shared" si="4"/>
        <v>674.86752000000001</v>
      </c>
      <c r="V12" s="381">
        <f t="shared" si="4"/>
        <v>674.86752000000001</v>
      </c>
      <c r="W12" s="381">
        <f t="shared" si="5"/>
        <v>449.91168000000005</v>
      </c>
      <c r="X12" s="381">
        <f t="shared" si="6"/>
        <v>1012.3012800000001</v>
      </c>
      <c r="Y12" s="381">
        <f t="shared" si="7"/>
        <v>5286.4622400000007</v>
      </c>
      <c r="Z12" s="384">
        <f t="shared" si="8"/>
        <v>17209.121760000002</v>
      </c>
      <c r="AA12" s="384">
        <f>'DATOS REFERENCIALES'!$C$10</f>
        <v>1294</v>
      </c>
      <c r="AB12" s="381">
        <f>IF((IF(H12&gt;1119,('DATOS REFERENCIALES'!$C$9-(S12-T12-U12-V12-W12-X12+AA12)),(('DATOS REFERENCIALES'!$C$9/1120)*H12)-(K12+N12+O12+P12+Q12+R12-T12-U12-V12-W12-X12+AA12)))&lt;0,0,IF(H12&gt;1119,(('DATOS REFERENCIALES'!$C$9)-(S12-T12-U12-V12-W12-X12+AA12)),(('DATOS REFERENCIALES'!$C$9/1120)*H12)-(K12+N12+O12+P12+Q12+R12-T12-U12-V12-W12-X12+AA12)))</f>
        <v>0</v>
      </c>
      <c r="AC12" s="385">
        <f t="shared" si="9"/>
        <v>18503.121760000002</v>
      </c>
      <c r="AD12" s="386">
        <f>'DATOS REFERENCIALES'!$C$13</f>
        <v>1210</v>
      </c>
      <c r="AE12" s="408"/>
      <c r="AF12" s="385">
        <f>'DATOS REFERENCIALES'!$C$11</f>
        <v>320</v>
      </c>
      <c r="AG12" s="381">
        <f>'DATOS REFERENCIALES'!$C$12</f>
        <v>210</v>
      </c>
      <c r="AH12" s="583">
        <f>SUM(AC12:AG12)+SUM(AC13:AG13)</f>
        <v>22190.432197600003</v>
      </c>
      <c r="AI12" s="13"/>
      <c r="AJ12" s="13"/>
      <c r="AK12" s="13"/>
      <c r="AL12" s="18"/>
      <c r="AM12" s="19"/>
      <c r="AN12" s="19"/>
      <c r="AR12" s="8"/>
    </row>
    <row r="13" spans="1:44" s="1" customFormat="1" ht="24.75" customHeight="1" thickBot="1" x14ac:dyDescent="0.25">
      <c r="A13" s="409">
        <v>603</v>
      </c>
      <c r="B13" s="447" t="s">
        <v>25</v>
      </c>
      <c r="C13" s="389">
        <f>IF(C12&gt;0,C12,0)</f>
        <v>0</v>
      </c>
      <c r="D13" s="389"/>
      <c r="E13" s="389"/>
      <c r="F13" s="389"/>
      <c r="G13" s="513"/>
      <c r="H13" s="514"/>
      <c r="I13" s="389">
        <v>234.6</v>
      </c>
      <c r="J13" s="393" t="s">
        <v>158</v>
      </c>
      <c r="K13" s="394"/>
      <c r="L13" s="394">
        <f>I13*'DATOS REFERENCIALES'!$C$4</f>
        <v>1285.6080000000002</v>
      </c>
      <c r="M13" s="394">
        <f>IF(J13='DATOS REFERENCIALES'!$C$28,K12*'DATOS REFERENCIALES'!$D$28,IF(J13='DATOS REFERENCIALES'!$C$29,('DATOS REFERENCIALES'!$D$29*K12),IF(J13='DATOS REFERENCIALES'!$C$30,('DATOS REFERENCIALES'!$D$30*K12),IF(J13='DATOS REFERENCIALES'!$C$31,('DATOS REFERENCIALES'!$D$31*K12),IF(J13='DATOS REFERENCIALES'!$C$32,('DATOS REFERENCIALES'!$D$32*K12),IF(J13='DATOS REFERENCIALES'!$C$33,('DATOS REFERENCIALES'!$D$33*K12),IF(J13='DATOS REFERENCIALES'!$C$34,('DATOS REFERENCIALES'!$D$34*K12),IF(J13='DATOS REFERENCIALES'!$C$35,('DATOS REFERENCIALES'!$D$35*K12),0))))))))</f>
        <v>1028.4864</v>
      </c>
      <c r="N13" s="396">
        <f>LOOKUP(C13,'TABLA ANTIG.'!$A$4:$A$39,'TABLA ANTIG.'!$B$4:$B$39)*(L13+M13)</f>
        <v>0</v>
      </c>
      <c r="O13" s="396">
        <f>(L13+M13)*0.1</f>
        <v>231.40944000000002</v>
      </c>
      <c r="P13" s="394"/>
      <c r="Q13" s="396"/>
      <c r="R13" s="395"/>
      <c r="S13" s="396">
        <f>L13+M13+N13+O13+P13+Q13+R13</f>
        <v>2545.5038399999999</v>
      </c>
      <c r="T13" s="399">
        <f t="shared" si="3"/>
        <v>280.00542239999999</v>
      </c>
      <c r="U13" s="396">
        <f t="shared" si="4"/>
        <v>76.365115199999991</v>
      </c>
      <c r="V13" s="399">
        <f t="shared" si="4"/>
        <v>76.365115199999991</v>
      </c>
      <c r="W13" s="396">
        <f>$S13*2%</f>
        <v>50.910076799999999</v>
      </c>
      <c r="X13" s="396">
        <f t="shared" si="6"/>
        <v>114.54767279999999</v>
      </c>
      <c r="Y13" s="396">
        <f t="shared" si="7"/>
        <v>598.19340239999997</v>
      </c>
      <c r="Z13" s="400">
        <f t="shared" si="8"/>
        <v>1947.3104375999999</v>
      </c>
      <c r="AA13" s="396"/>
      <c r="AB13" s="396"/>
      <c r="AC13" s="395">
        <f t="shared" si="9"/>
        <v>1947.3104375999999</v>
      </c>
      <c r="AD13" s="401"/>
      <c r="AE13" s="414"/>
      <c r="AF13" s="395"/>
      <c r="AG13" s="396"/>
      <c r="AH13" s="584"/>
      <c r="AI13" s="13"/>
      <c r="AJ13" s="13"/>
      <c r="AK13" s="13"/>
      <c r="AL13" s="18"/>
      <c r="AM13" s="19"/>
      <c r="AN13" s="19"/>
      <c r="AR13" s="8"/>
    </row>
    <row r="14" spans="1:44" s="1" customFormat="1" ht="21.75" customHeight="1" x14ac:dyDescent="0.2">
      <c r="A14" s="433">
        <v>1515</v>
      </c>
      <c r="B14" s="311" t="s">
        <v>26</v>
      </c>
      <c r="C14" s="312">
        <v>0</v>
      </c>
      <c r="D14" s="312"/>
      <c r="E14" s="312"/>
      <c r="F14" s="312"/>
      <c r="G14" s="515">
        <v>2669</v>
      </c>
      <c r="H14" s="501">
        <f t="shared" si="0"/>
        <v>2669</v>
      </c>
      <c r="I14" s="501"/>
      <c r="J14" s="501"/>
      <c r="K14" s="516">
        <f>H14*'DATOS REFERENCIALES'!$C$4</f>
        <v>14626.12</v>
      </c>
      <c r="L14" s="517"/>
      <c r="M14" s="517"/>
      <c r="N14" s="518">
        <f>LOOKUP(C14,'TABLA ANTIG.'!$A$4:$A$39,'TABLA ANTIG.'!$B$4:$B$39)*(K14)</f>
        <v>0</v>
      </c>
      <c r="O14" s="518">
        <f t="shared" si="1"/>
        <v>1462.6120000000001</v>
      </c>
      <c r="P14" s="516">
        <f>'DATOS REFERENCIALES'!$C$8</f>
        <v>3640</v>
      </c>
      <c r="Q14" s="519">
        <f>LOOKUP(C14,'TABLA ANTIG.'!$A$4:$A$39,'TABLA ANTIG.'!$B$4:$B$39)*(P14)</f>
        <v>0</v>
      </c>
      <c r="R14" s="519">
        <v>0</v>
      </c>
      <c r="S14" s="520">
        <f t="shared" si="2"/>
        <v>19728.732</v>
      </c>
      <c r="T14" s="520">
        <f t="shared" si="3"/>
        <v>2170.1605199999999</v>
      </c>
      <c r="U14" s="520">
        <f t="shared" si="4"/>
        <v>591.86195999999995</v>
      </c>
      <c r="V14" s="520">
        <f t="shared" si="4"/>
        <v>591.86195999999995</v>
      </c>
      <c r="W14" s="520">
        <f t="shared" si="5"/>
        <v>394.57463999999999</v>
      </c>
      <c r="X14" s="520">
        <f t="shared" si="6"/>
        <v>887.79293999999993</v>
      </c>
      <c r="Y14" s="520">
        <f t="shared" si="7"/>
        <v>4636.2520199999999</v>
      </c>
      <c r="Z14" s="518">
        <f t="shared" si="8"/>
        <v>15092.47998</v>
      </c>
      <c r="AA14" s="518">
        <f>'DATOS REFERENCIALES'!$C$10</f>
        <v>1294</v>
      </c>
      <c r="AB14" s="520">
        <f>IF((IF(H14&gt;1119,('DATOS REFERENCIALES'!$C$9-(S14-T14-U14-V14-W14-X14+AA14)),(('DATOS REFERENCIALES'!$C$9/1120)*H14)-(K14+N14+O14+P14+Q14+R14-T14-U14-V14-W14-X14+AA14)))&lt;0,0,IF(H14&gt;1119,(('DATOS REFERENCIALES'!$C$9)-(S14-T14-U14-V14-W14-X14+AA14)),(('DATOS REFERENCIALES'!$C$9/1120)*H14)-(K14+N14+O14+P14+Q14+R14-T14-U14-V14-W14-X14+AA14)))</f>
        <v>0</v>
      </c>
      <c r="AC14" s="519">
        <f t="shared" si="9"/>
        <v>16386.47998</v>
      </c>
      <c r="AD14" s="577">
        <f>'DATOS REFERENCIALES'!$C$13</f>
        <v>1210</v>
      </c>
      <c r="AE14" s="438"/>
      <c r="AF14" s="519">
        <f>'DATOS REFERENCIALES'!$C$11</f>
        <v>320</v>
      </c>
      <c r="AG14" s="520">
        <f>'DATOS REFERENCIALES'!$C$12</f>
        <v>210</v>
      </c>
      <c r="AH14" s="579">
        <f>SUM(AC14:AG14)+SUM(AC15:AG15)</f>
        <v>19049.594035599999</v>
      </c>
      <c r="AI14" s="13"/>
      <c r="AJ14" s="13"/>
      <c r="AK14" s="13"/>
      <c r="AL14" s="18"/>
      <c r="AM14" s="19"/>
      <c r="AN14" s="19"/>
      <c r="AR14" s="8"/>
    </row>
    <row r="15" spans="1:44" s="1" customFormat="1" ht="21.75" customHeight="1" thickBot="1" x14ac:dyDescent="0.25">
      <c r="A15" s="439">
        <v>1515</v>
      </c>
      <c r="B15" s="456" t="s">
        <v>26</v>
      </c>
      <c r="C15" s="324">
        <f>IF(C14&gt;0,C14,0)</f>
        <v>0</v>
      </c>
      <c r="D15" s="365"/>
      <c r="E15" s="365"/>
      <c r="F15" s="365"/>
      <c r="G15" s="521"/>
      <c r="H15" s="522"/>
      <c r="I15" s="365">
        <v>200.18</v>
      </c>
      <c r="J15" s="523"/>
      <c r="K15" s="369"/>
      <c r="L15" s="369">
        <f>I15*'DATOS REFERENCIALES'!$C$4</f>
        <v>1096.9864000000002</v>
      </c>
      <c r="M15" s="369"/>
      <c r="N15" s="336">
        <f>LOOKUP(C15,'TABLA ANTIG.'!$A$4:$A$39,'TABLA ANTIG.'!$B$4:$B$39)*(L15+M15)</f>
        <v>0</v>
      </c>
      <c r="O15" s="336">
        <f>(L15+M15)*0.1</f>
        <v>109.69864000000003</v>
      </c>
      <c r="P15" s="369"/>
      <c r="Q15" s="336"/>
      <c r="R15" s="333"/>
      <c r="S15" s="336">
        <f>L15+M15+N15+O15+P15+Q15+R15</f>
        <v>1206.6850400000003</v>
      </c>
      <c r="T15" s="370">
        <f t="shared" si="3"/>
        <v>132.73535440000003</v>
      </c>
      <c r="U15" s="336">
        <f t="shared" si="4"/>
        <v>36.200551200000007</v>
      </c>
      <c r="V15" s="370">
        <f t="shared" si="4"/>
        <v>36.200551200000007</v>
      </c>
      <c r="W15" s="336">
        <f>$S15*2%</f>
        <v>24.133700800000007</v>
      </c>
      <c r="X15" s="336">
        <f t="shared" si="6"/>
        <v>54.30082680000001</v>
      </c>
      <c r="Y15" s="336">
        <f t="shared" si="7"/>
        <v>283.57098440000004</v>
      </c>
      <c r="Z15" s="371">
        <f t="shared" si="8"/>
        <v>923.11405560000026</v>
      </c>
      <c r="AA15" s="336"/>
      <c r="AB15" s="336"/>
      <c r="AC15" s="333">
        <f t="shared" si="9"/>
        <v>923.11405560000026</v>
      </c>
      <c r="AD15" s="571"/>
      <c r="AE15" s="444"/>
      <c r="AF15" s="333"/>
      <c r="AG15" s="336"/>
      <c r="AH15" s="580"/>
      <c r="AI15" s="13"/>
      <c r="AJ15" s="13"/>
      <c r="AK15" s="13"/>
      <c r="AL15" s="18"/>
      <c r="AM15" s="19"/>
      <c r="AN15" s="19"/>
      <c r="AR15" s="8"/>
    </row>
    <row r="16" spans="1:44" s="1" customFormat="1" ht="21.75" customHeight="1" x14ac:dyDescent="0.2">
      <c r="A16" s="181">
        <v>1532</v>
      </c>
      <c r="B16" s="182" t="s">
        <v>27</v>
      </c>
      <c r="C16" s="139">
        <v>0</v>
      </c>
      <c r="D16" s="139"/>
      <c r="E16" s="139"/>
      <c r="F16" s="139"/>
      <c r="G16" s="275">
        <v>1924</v>
      </c>
      <c r="H16" s="276">
        <v>2070</v>
      </c>
      <c r="I16" s="276"/>
      <c r="J16" s="276"/>
      <c r="K16" s="104">
        <f>H16*'DATOS REFERENCIALES'!$C$4</f>
        <v>11343.6</v>
      </c>
      <c r="L16" s="210"/>
      <c r="M16" s="210"/>
      <c r="N16" s="131">
        <f>LOOKUP(C16,'TABLA ANTIG.'!$A$4:$A$39,'TABLA ANTIG.'!$B$4:$B$39)*(K16)</f>
        <v>0</v>
      </c>
      <c r="O16" s="113">
        <f t="shared" si="1"/>
        <v>1134.3600000000001</v>
      </c>
      <c r="P16" s="104">
        <f>'DATOS REFERENCIALES'!$C$8</f>
        <v>3640</v>
      </c>
      <c r="Q16" s="150">
        <f>LOOKUP(C16,'TABLA ANTIG.'!$A$4:$A$39,'TABLA ANTIG.'!$B$4:$B$39)*(P16)</f>
        <v>0</v>
      </c>
      <c r="R16" s="180">
        <v>0</v>
      </c>
      <c r="S16" s="31">
        <f t="shared" si="2"/>
        <v>16117.960000000001</v>
      </c>
      <c r="T16" s="31">
        <f t="shared" si="3"/>
        <v>1772.9756000000002</v>
      </c>
      <c r="U16" s="31">
        <f t="shared" si="4"/>
        <v>483.53880000000004</v>
      </c>
      <c r="V16" s="31">
        <f t="shared" si="4"/>
        <v>483.53880000000004</v>
      </c>
      <c r="W16" s="31">
        <f t="shared" si="5"/>
        <v>322.35920000000004</v>
      </c>
      <c r="X16" s="31">
        <f t="shared" si="6"/>
        <v>725.30820000000006</v>
      </c>
      <c r="Y16" s="31">
        <f t="shared" si="7"/>
        <v>3787.7206000000001</v>
      </c>
      <c r="Z16" s="168">
        <f t="shared" si="8"/>
        <v>12330.2394</v>
      </c>
      <c r="AA16" s="168">
        <f>'DATOS REFERENCIALES'!$C$10</f>
        <v>1294</v>
      </c>
      <c r="AB16" s="94">
        <f>IF((IF(H16&gt;1119,('DATOS REFERENCIALES'!$C$9-(S16-T16-U16-V16-W16-X16+AA16)),(('DATOS REFERENCIALES'!$C$9/1120)*H16)-(K16+N16+O16+P16+Q16+R16-T16-U16-V16-W16-X16+AA16)))&lt;0,0,IF(H16&gt;1119,(('DATOS REFERENCIALES'!$C$9)-(S16-T16-U16-V16-W16-X16+AA16)),(('DATOS REFERENCIALES'!$C$9/1120)*H16)-(K16+N16+O16+P16+Q16+R16-T16-U16-V16-W16-X16+AA16)))</f>
        <v>986.76059999999961</v>
      </c>
      <c r="AC16" s="150">
        <f t="shared" si="9"/>
        <v>14611</v>
      </c>
      <c r="AD16" s="106">
        <f>'DATOS REFERENCIALES'!$C$13</f>
        <v>1210</v>
      </c>
      <c r="AE16" s="307"/>
      <c r="AF16" s="150">
        <f>'DATOS REFERENCIALES'!$C$11</f>
        <v>320</v>
      </c>
      <c r="AG16" s="94">
        <f>'DATOS REFERENCIALES'!$C$12</f>
        <v>210</v>
      </c>
      <c r="AH16" s="94">
        <f t="shared" ref="AH16:AH29" si="10">SUM(AC16:AG16)</f>
        <v>16351</v>
      </c>
      <c r="AI16" s="13"/>
      <c r="AJ16" s="13"/>
      <c r="AK16" s="13"/>
      <c r="AL16" s="18"/>
      <c r="AM16" s="19"/>
      <c r="AN16" s="19"/>
      <c r="AR16" s="8"/>
    </row>
    <row r="17" spans="1:44" s="1" customFormat="1" ht="21.75" customHeight="1" x14ac:dyDescent="0.2">
      <c r="A17" s="89">
        <v>1534</v>
      </c>
      <c r="B17" s="115" t="s">
        <v>28</v>
      </c>
      <c r="C17" s="47">
        <v>0</v>
      </c>
      <c r="D17" s="47"/>
      <c r="E17" s="47"/>
      <c r="F17" s="47"/>
      <c r="G17" s="75">
        <v>1451</v>
      </c>
      <c r="H17" s="61">
        <f t="shared" si="0"/>
        <v>1451</v>
      </c>
      <c r="I17" s="61"/>
      <c r="J17" s="61"/>
      <c r="K17" s="104">
        <f>H17*'DATOS REFERENCIALES'!$C$4</f>
        <v>7951.4800000000005</v>
      </c>
      <c r="L17" s="210"/>
      <c r="M17" s="210"/>
      <c r="N17" s="131">
        <f>LOOKUP(C17,'TABLA ANTIG.'!$A$4:$A$39,'TABLA ANTIG.'!$B$4:$B$39)*(K17)</f>
        <v>0</v>
      </c>
      <c r="O17" s="113">
        <f t="shared" si="1"/>
        <v>795.14800000000014</v>
      </c>
      <c r="P17" s="104">
        <f>'DATOS REFERENCIALES'!$C$8</f>
        <v>3640</v>
      </c>
      <c r="Q17" s="150">
        <f>LOOKUP(C17,'TABLA ANTIG.'!$A$4:$A$39,'TABLA ANTIG.'!$B$4:$B$39)*(P17)</f>
        <v>0</v>
      </c>
      <c r="R17" s="180">
        <v>0</v>
      </c>
      <c r="S17" s="31">
        <f t="shared" si="2"/>
        <v>12386.628000000001</v>
      </c>
      <c r="T17" s="31">
        <f t="shared" si="3"/>
        <v>1362.52908</v>
      </c>
      <c r="U17" s="31">
        <f t="shared" si="4"/>
        <v>371.59884</v>
      </c>
      <c r="V17" s="31">
        <f t="shared" si="4"/>
        <v>371.59884</v>
      </c>
      <c r="W17" s="31">
        <f t="shared" si="5"/>
        <v>247.73256000000001</v>
      </c>
      <c r="X17" s="31">
        <f t="shared" si="6"/>
        <v>557.39826000000005</v>
      </c>
      <c r="Y17" s="31">
        <f t="shared" si="7"/>
        <v>2910.8575799999999</v>
      </c>
      <c r="Z17" s="168">
        <f t="shared" si="8"/>
        <v>9475.7704200000007</v>
      </c>
      <c r="AA17" s="168">
        <f>'DATOS REFERENCIALES'!$C$10</f>
        <v>1294</v>
      </c>
      <c r="AB17" s="94">
        <f>IF((IF(H17&gt;1119,('DATOS REFERENCIALES'!$C$9-(S17-T17-U17-V17-W17-X17+AA17)),(('DATOS REFERENCIALES'!$C$9/1120)*H17)-(K17+N17+O17+P17+Q17+R17-T17-U17-V17-W17-X17+AA17)))&lt;0,0,IF(H17&gt;1119,(('DATOS REFERENCIALES'!$C$9)-(S17-T17-U17-V17-W17-X17+AA17)),(('DATOS REFERENCIALES'!$C$9/1120)*H17)-(K17+N17+O17+P17+Q17+R17-T17-U17-V17-W17-X17+AA17)))</f>
        <v>3841.2295800000011</v>
      </c>
      <c r="AC17" s="150">
        <f t="shared" si="9"/>
        <v>14611.000000000002</v>
      </c>
      <c r="AD17" s="106">
        <f>'DATOS REFERENCIALES'!$C$13</f>
        <v>1210</v>
      </c>
      <c r="AE17" s="308"/>
      <c r="AF17" s="150">
        <f>'DATOS REFERENCIALES'!$C$11</f>
        <v>320</v>
      </c>
      <c r="AG17" s="94">
        <f>'DATOS REFERENCIALES'!$C$12</f>
        <v>210</v>
      </c>
      <c r="AH17" s="94">
        <f t="shared" si="10"/>
        <v>16351.000000000002</v>
      </c>
      <c r="AI17" s="13"/>
      <c r="AJ17" s="13"/>
      <c r="AK17" s="13"/>
      <c r="AL17" s="18"/>
      <c r="AM17" s="19"/>
      <c r="AN17" s="19"/>
      <c r="AR17" s="8"/>
    </row>
    <row r="18" spans="1:44" s="1" customFormat="1" ht="21.75" customHeight="1" x14ac:dyDescent="0.2">
      <c r="A18" s="89">
        <v>1556</v>
      </c>
      <c r="B18" s="115" t="s">
        <v>29</v>
      </c>
      <c r="C18" s="47">
        <v>0</v>
      </c>
      <c r="D18" s="47"/>
      <c r="E18" s="47"/>
      <c r="F18" s="47"/>
      <c r="G18" s="75">
        <v>1120</v>
      </c>
      <c r="H18" s="61">
        <f t="shared" si="0"/>
        <v>1120</v>
      </c>
      <c r="I18" s="61"/>
      <c r="J18" s="61"/>
      <c r="K18" s="104">
        <f>H18*'DATOS REFERENCIALES'!$C$4</f>
        <v>6137.6</v>
      </c>
      <c r="L18" s="210"/>
      <c r="M18" s="210"/>
      <c r="N18" s="131">
        <f>LOOKUP(C18,'TABLA ANTIG.'!$A$4:$A$39,'TABLA ANTIG.'!$B$4:$B$39)*(K18)</f>
        <v>0</v>
      </c>
      <c r="O18" s="113">
        <f t="shared" si="1"/>
        <v>613.7600000000001</v>
      </c>
      <c r="P18" s="104">
        <f>'DATOS REFERENCIALES'!$C$8</f>
        <v>3640</v>
      </c>
      <c r="Q18" s="150">
        <f>LOOKUP(C18,'TABLA ANTIG.'!$A$4:$A$39,'TABLA ANTIG.'!$B$4:$B$39)*(P18)</f>
        <v>0</v>
      </c>
      <c r="R18" s="180">
        <v>0</v>
      </c>
      <c r="S18" s="31">
        <f t="shared" si="2"/>
        <v>10391.36</v>
      </c>
      <c r="T18" s="31">
        <f t="shared" si="3"/>
        <v>1143.0496000000001</v>
      </c>
      <c r="U18" s="31">
        <f t="shared" si="4"/>
        <v>311.74079999999998</v>
      </c>
      <c r="V18" s="31">
        <f t="shared" si="4"/>
        <v>311.74079999999998</v>
      </c>
      <c r="W18" s="31">
        <f t="shared" si="5"/>
        <v>207.8272</v>
      </c>
      <c r="X18" s="31">
        <f t="shared" si="6"/>
        <v>467.6112</v>
      </c>
      <c r="Y18" s="31">
        <f t="shared" si="7"/>
        <v>2441.9695999999999</v>
      </c>
      <c r="Z18" s="168">
        <f t="shared" si="8"/>
        <v>7949.3904000000002</v>
      </c>
      <c r="AA18" s="168">
        <f>'DATOS REFERENCIALES'!$C$10</f>
        <v>1294</v>
      </c>
      <c r="AB18" s="94">
        <f>IF((IF(H18&gt;1119,('DATOS REFERENCIALES'!$C$9-(S18-T18-U18-V18-W18-X18+AA18)),(('DATOS REFERENCIALES'!$C$9/1120)*H18)-(K18+N18+O18+P18+Q18+R18-T18-U18-V18-W18-X18+AA18)))&lt;0,0,IF(H18&gt;1119,(('DATOS REFERENCIALES'!$C$9)-(S18-T18-U18-V18-W18-X18+AA18)),(('DATOS REFERENCIALES'!$C$9/1120)*H18)-(K18+N18+O18+P18+Q18+R18-T18-U18-V18-W18-X18+AA18)))</f>
        <v>5367.6095999999998</v>
      </c>
      <c r="AC18" s="150">
        <f t="shared" si="9"/>
        <v>14611</v>
      </c>
      <c r="AD18" s="106">
        <f>'DATOS REFERENCIALES'!$C$13</f>
        <v>1210</v>
      </c>
      <c r="AE18" s="308"/>
      <c r="AF18" s="150">
        <f>'DATOS REFERENCIALES'!$C$11</f>
        <v>320</v>
      </c>
      <c r="AG18" s="94">
        <f>'DATOS REFERENCIALES'!$C$12</f>
        <v>210</v>
      </c>
      <c r="AH18" s="94">
        <f t="shared" si="10"/>
        <v>16351</v>
      </c>
      <c r="AI18" s="13"/>
      <c r="AJ18" s="13"/>
      <c r="AK18" s="13"/>
      <c r="AL18" s="18"/>
      <c r="AM18" s="19"/>
      <c r="AN18" s="19"/>
      <c r="AR18" s="8"/>
    </row>
    <row r="19" spans="1:44" s="1" customFormat="1" ht="21.75" customHeight="1" x14ac:dyDescent="0.2">
      <c r="A19" s="89">
        <v>1557</v>
      </c>
      <c r="B19" s="129" t="s">
        <v>80</v>
      </c>
      <c r="C19" s="47">
        <v>0</v>
      </c>
      <c r="D19" s="47"/>
      <c r="E19" s="47"/>
      <c r="F19" s="47"/>
      <c r="G19" s="75">
        <v>823</v>
      </c>
      <c r="H19" s="61">
        <f t="shared" si="0"/>
        <v>823</v>
      </c>
      <c r="I19" s="61"/>
      <c r="J19" s="61"/>
      <c r="K19" s="104">
        <f>H19*'DATOS REFERENCIALES'!$C$4</f>
        <v>4510.04</v>
      </c>
      <c r="L19" s="210"/>
      <c r="M19" s="210"/>
      <c r="N19" s="131">
        <f>LOOKUP(C19,'TABLA ANTIG.'!$A$4:$A$39,'TABLA ANTIG.'!$B$4:$B$39)*(K19)</f>
        <v>0</v>
      </c>
      <c r="O19" s="113">
        <f t="shared" si="1"/>
        <v>451.00400000000002</v>
      </c>
      <c r="P19" s="104">
        <f>'DATOS REFERENCIALES'!$C$8</f>
        <v>3640</v>
      </c>
      <c r="Q19" s="150">
        <f>LOOKUP(C19,'TABLA ANTIG.'!$A$4:$A$39,'TABLA ANTIG.'!$B$4:$B$39)*(P19)</f>
        <v>0</v>
      </c>
      <c r="R19" s="180">
        <v>0</v>
      </c>
      <c r="S19" s="31">
        <f t="shared" si="2"/>
        <v>8601.0439999999999</v>
      </c>
      <c r="T19" s="31">
        <f t="shared" si="3"/>
        <v>946.11483999999996</v>
      </c>
      <c r="U19" s="31">
        <f t="shared" si="4"/>
        <v>258.03131999999999</v>
      </c>
      <c r="V19" s="31">
        <f t="shared" si="4"/>
        <v>258.03131999999999</v>
      </c>
      <c r="W19" s="31">
        <f t="shared" si="5"/>
        <v>172.02088000000001</v>
      </c>
      <c r="X19" s="31">
        <f t="shared" si="6"/>
        <v>387.04697999999996</v>
      </c>
      <c r="Y19" s="31">
        <f t="shared" si="7"/>
        <v>2021.2453399999999</v>
      </c>
      <c r="Z19" s="168">
        <f t="shared" si="8"/>
        <v>6579.7986600000004</v>
      </c>
      <c r="AA19" s="168">
        <f>'DATOS REFERENCIALES'!$C$10</f>
        <v>1294</v>
      </c>
      <c r="AB19" s="94">
        <f>IF((IF(H19&gt;1119,('DATOS REFERENCIALES'!$C$9-(S19-T19-U19-V19-W19-X19+AA19)),(('DATOS REFERENCIALES'!$C$9/1120)*H19)-(K19+N19+O19+P19+Q19+R19-T19-U19-V19-W19-X19+AA19)))&lt;0,0,IF(H19&gt;1119,(('DATOS REFERENCIALES'!$C$9)-(S19-T19-U19-V19-W19-X19+AA19)),(('DATOS REFERENCIALES'!$C$9/1120)*H19)-(K19+N19+O19+P19+Q19+R19-T19-U19-V19-W19-X19+AA19)))</f>
        <v>2862.6772328571433</v>
      </c>
      <c r="AC19" s="150">
        <f t="shared" si="9"/>
        <v>10736.475892857143</v>
      </c>
      <c r="AD19" s="106">
        <f>'DATOS REFERENCIALES'!$C$13</f>
        <v>1210</v>
      </c>
      <c r="AE19" s="308"/>
      <c r="AF19" s="150">
        <f>'DATOS REFERENCIALES'!$C$11</f>
        <v>320</v>
      </c>
      <c r="AG19" s="94">
        <f>'DATOS REFERENCIALES'!$C$12</f>
        <v>210</v>
      </c>
      <c r="AH19" s="94">
        <f t="shared" si="10"/>
        <v>12476.475892857143</v>
      </c>
      <c r="AI19" s="13"/>
      <c r="AJ19" s="13"/>
      <c r="AK19" s="13"/>
      <c r="AL19" s="18"/>
      <c r="AM19" s="19"/>
      <c r="AN19" s="19"/>
      <c r="AR19" s="8"/>
    </row>
    <row r="20" spans="1:44" s="1" customFormat="1" ht="21.75" customHeight="1" x14ac:dyDescent="0.2">
      <c r="A20" s="89">
        <v>1559</v>
      </c>
      <c r="B20" s="115" t="s">
        <v>30</v>
      </c>
      <c r="C20" s="47">
        <v>0</v>
      </c>
      <c r="D20" s="47"/>
      <c r="E20" s="47"/>
      <c r="F20" s="47"/>
      <c r="G20" s="75">
        <v>1120</v>
      </c>
      <c r="H20" s="61">
        <f t="shared" si="0"/>
        <v>1120</v>
      </c>
      <c r="I20" s="61"/>
      <c r="J20" s="61"/>
      <c r="K20" s="104">
        <f>H20*'DATOS REFERENCIALES'!$C$4</f>
        <v>6137.6</v>
      </c>
      <c r="L20" s="210"/>
      <c r="M20" s="210"/>
      <c r="N20" s="131">
        <f>LOOKUP(C20,'TABLA ANTIG.'!$A$4:$A$39,'TABLA ANTIG.'!$B$4:$B$39)*(K20)</f>
        <v>0</v>
      </c>
      <c r="O20" s="113">
        <f t="shared" si="1"/>
        <v>613.7600000000001</v>
      </c>
      <c r="P20" s="104">
        <f>'DATOS REFERENCIALES'!$C$8</f>
        <v>3640</v>
      </c>
      <c r="Q20" s="150">
        <f>LOOKUP(C20,'TABLA ANTIG.'!$A$4:$A$39,'TABLA ANTIG.'!$B$4:$B$39)*(P20)</f>
        <v>0</v>
      </c>
      <c r="R20" s="180">
        <v>0</v>
      </c>
      <c r="S20" s="31">
        <f t="shared" si="2"/>
        <v>10391.36</v>
      </c>
      <c r="T20" s="31">
        <f t="shared" si="3"/>
        <v>1143.0496000000001</v>
      </c>
      <c r="U20" s="31">
        <f t="shared" si="4"/>
        <v>311.74079999999998</v>
      </c>
      <c r="V20" s="31">
        <f t="shared" si="4"/>
        <v>311.74079999999998</v>
      </c>
      <c r="W20" s="31">
        <f t="shared" si="5"/>
        <v>207.8272</v>
      </c>
      <c r="X20" s="31">
        <f t="shared" si="6"/>
        <v>467.6112</v>
      </c>
      <c r="Y20" s="31">
        <f t="shared" si="7"/>
        <v>2441.9695999999999</v>
      </c>
      <c r="Z20" s="168">
        <f t="shared" si="8"/>
        <v>7949.3904000000002</v>
      </c>
      <c r="AA20" s="168">
        <f>'DATOS REFERENCIALES'!$C$10</f>
        <v>1294</v>
      </c>
      <c r="AB20" s="94">
        <f>IF((IF(H20&gt;1119,('DATOS REFERENCIALES'!$C$9-(S20-T20-U20-V20-W20-X20+AA20)),(('DATOS REFERENCIALES'!$C$9/1120)*H20)-(K20+N20+O20+P20+Q20+R20-T20-U20-V20-W20-X20+AA20)))&lt;0,0,IF(H20&gt;1119,(('DATOS REFERENCIALES'!$C$9)-(S20-T20-U20-V20-W20-X20+AA20)),(('DATOS REFERENCIALES'!$C$9/1120)*H20)-(K20+N20+O20+P20+Q20+R20-T20-U20-V20-W20-X20+AA20)))</f>
        <v>5367.6095999999998</v>
      </c>
      <c r="AC20" s="150">
        <f t="shared" si="9"/>
        <v>14611</v>
      </c>
      <c r="AD20" s="106">
        <f>'DATOS REFERENCIALES'!$C$13</f>
        <v>1210</v>
      </c>
      <c r="AE20" s="308"/>
      <c r="AF20" s="150">
        <f>'DATOS REFERENCIALES'!$C$11</f>
        <v>320</v>
      </c>
      <c r="AG20" s="94">
        <f>'DATOS REFERENCIALES'!$C$12</f>
        <v>210</v>
      </c>
      <c r="AH20" s="94">
        <f t="shared" si="10"/>
        <v>16351</v>
      </c>
      <c r="AI20" s="13"/>
      <c r="AJ20" s="13"/>
      <c r="AK20" s="13"/>
      <c r="AL20" s="18"/>
      <c r="AM20" s="19"/>
      <c r="AN20" s="19"/>
      <c r="AR20" s="8"/>
    </row>
    <row r="21" spans="1:44" s="1" customFormat="1" ht="21.75" customHeight="1" x14ac:dyDescent="0.2">
      <c r="A21" s="89">
        <v>1566</v>
      </c>
      <c r="B21" s="115" t="s">
        <v>31</v>
      </c>
      <c r="C21" s="47">
        <v>0</v>
      </c>
      <c r="D21" s="47"/>
      <c r="E21" s="47"/>
      <c r="F21" s="47"/>
      <c r="G21" s="75">
        <v>1008</v>
      </c>
      <c r="H21" s="61">
        <f t="shared" si="0"/>
        <v>1008</v>
      </c>
      <c r="I21" s="61"/>
      <c r="J21" s="61"/>
      <c r="K21" s="104">
        <f>H21*'DATOS REFERENCIALES'!$C$4</f>
        <v>5523.84</v>
      </c>
      <c r="L21" s="210"/>
      <c r="M21" s="210"/>
      <c r="N21" s="131">
        <f>LOOKUP(C21,'TABLA ANTIG.'!$A$4:$A$39,'TABLA ANTIG.'!$B$4:$B$39)*(K21)</f>
        <v>0</v>
      </c>
      <c r="O21" s="113">
        <f t="shared" si="1"/>
        <v>552.38400000000001</v>
      </c>
      <c r="P21" s="104">
        <f>'DATOS REFERENCIALES'!$C$8</f>
        <v>3640</v>
      </c>
      <c r="Q21" s="150">
        <f>LOOKUP(C21,'TABLA ANTIG.'!$A$4:$A$39,'TABLA ANTIG.'!$B$4:$B$39)*(P21)</f>
        <v>0</v>
      </c>
      <c r="R21" s="180">
        <v>0</v>
      </c>
      <c r="S21" s="31">
        <f t="shared" si="2"/>
        <v>9716.2240000000002</v>
      </c>
      <c r="T21" s="31">
        <f t="shared" si="3"/>
        <v>1068.7846400000001</v>
      </c>
      <c r="U21" s="31">
        <f t="shared" si="4"/>
        <v>291.48671999999999</v>
      </c>
      <c r="V21" s="31">
        <f t="shared" si="4"/>
        <v>291.48671999999999</v>
      </c>
      <c r="W21" s="31">
        <f t="shared" si="5"/>
        <v>194.32447999999999</v>
      </c>
      <c r="X21" s="31">
        <f t="shared" si="6"/>
        <v>437.23007999999999</v>
      </c>
      <c r="Y21" s="31">
        <f t="shared" si="7"/>
        <v>2283.3126400000001</v>
      </c>
      <c r="Z21" s="168">
        <f t="shared" si="8"/>
        <v>7432.9113600000001</v>
      </c>
      <c r="AA21" s="168">
        <f>'DATOS REFERENCIALES'!$C$10</f>
        <v>1294</v>
      </c>
      <c r="AB21" s="94">
        <f>IF((IF(H21&gt;1119,('DATOS REFERENCIALES'!$C$9-(S21-T21-U21-V21-W21-X21+AA21)),(('DATOS REFERENCIALES'!$C$9/1120)*H21)-(K21+N21+O21+P21+Q21+R21-T21-U21-V21-W21-X21+AA21)))&lt;0,0,IF(H21&gt;1119,(('DATOS REFERENCIALES'!$C$9)-(S21-T21-U21-V21-W21-X21+AA21)),(('DATOS REFERENCIALES'!$C$9/1120)*H21)-(K21+N21+O21+P21+Q21+R21-T21-U21-V21-W21-X21+AA21)))</f>
        <v>4422.9886400000014</v>
      </c>
      <c r="AC21" s="150">
        <f t="shared" si="9"/>
        <v>13149.900000000001</v>
      </c>
      <c r="AD21" s="106">
        <f>'DATOS REFERENCIALES'!$C$13</f>
        <v>1210</v>
      </c>
      <c r="AE21" s="308"/>
      <c r="AF21" s="150">
        <f>'DATOS REFERENCIALES'!$C$11</f>
        <v>320</v>
      </c>
      <c r="AG21" s="94">
        <f>'DATOS REFERENCIALES'!$C$12</f>
        <v>210</v>
      </c>
      <c r="AH21" s="94">
        <f t="shared" si="10"/>
        <v>14889.900000000001</v>
      </c>
      <c r="AI21" s="13"/>
      <c r="AJ21" s="13"/>
      <c r="AK21" s="13"/>
      <c r="AL21" s="18"/>
      <c r="AM21" s="19"/>
      <c r="AN21" s="19"/>
      <c r="AR21" s="8"/>
    </row>
    <row r="22" spans="1:44" s="1" customFormat="1" ht="21.75" customHeight="1" x14ac:dyDescent="0.2">
      <c r="A22" s="89">
        <v>1567</v>
      </c>
      <c r="B22" s="115" t="s">
        <v>32</v>
      </c>
      <c r="C22" s="47">
        <v>0</v>
      </c>
      <c r="D22" s="47"/>
      <c r="E22" s="47"/>
      <c r="F22" s="47"/>
      <c r="G22" s="75">
        <v>825</v>
      </c>
      <c r="H22" s="61">
        <f t="shared" si="0"/>
        <v>825</v>
      </c>
      <c r="I22" s="61"/>
      <c r="J22" s="61"/>
      <c r="K22" s="104">
        <f>H22*'DATOS REFERENCIALES'!$C$4</f>
        <v>4521</v>
      </c>
      <c r="L22" s="210"/>
      <c r="M22" s="210"/>
      <c r="N22" s="131">
        <f>LOOKUP(C22,'TABLA ANTIG.'!$A$4:$A$39,'TABLA ANTIG.'!$B$4:$B$39)*(K22)</f>
        <v>0</v>
      </c>
      <c r="O22" s="113">
        <f t="shared" si="1"/>
        <v>452.1</v>
      </c>
      <c r="P22" s="104">
        <f>'DATOS REFERENCIALES'!$C$8</f>
        <v>3640</v>
      </c>
      <c r="Q22" s="150">
        <f>LOOKUP(C22,'TABLA ANTIG.'!$A$4:$A$39,'TABLA ANTIG.'!$B$4:$B$39)*(P22)</f>
        <v>0</v>
      </c>
      <c r="R22" s="150">
        <v>0</v>
      </c>
      <c r="S22" s="31">
        <f t="shared" si="2"/>
        <v>8613.1</v>
      </c>
      <c r="T22" s="94">
        <f t="shared" si="3"/>
        <v>947.44100000000003</v>
      </c>
      <c r="U22" s="94">
        <f t="shared" si="4"/>
        <v>258.39300000000003</v>
      </c>
      <c r="V22" s="94">
        <f t="shared" si="4"/>
        <v>258.39300000000003</v>
      </c>
      <c r="W22" s="94">
        <f t="shared" si="5"/>
        <v>172.262</v>
      </c>
      <c r="X22" s="94">
        <f t="shared" si="6"/>
        <v>387.58949999999999</v>
      </c>
      <c r="Y22" s="31">
        <f t="shared" si="7"/>
        <v>2024.0785000000001</v>
      </c>
      <c r="Z22" s="168">
        <f t="shared" si="8"/>
        <v>6589.0215000000007</v>
      </c>
      <c r="AA22" s="168">
        <f>'DATOS REFERENCIALES'!$C$10</f>
        <v>1294</v>
      </c>
      <c r="AB22" s="94">
        <f>IF((IF(H22&gt;1119,('DATOS REFERENCIALES'!$C$9-(S22-T22-U22-V22-W22-X22+AA22)),(('DATOS REFERENCIALES'!$C$9/1120)*H22)-(K22+N22+O22+P22+Q22+R22-T22-U22-V22-W22-X22+AA22)))&lt;0,0,IF(H22&gt;1119,(('DATOS REFERENCIALES'!$C$9)-(S22-T22-U22-V22-W22-X22+AA22)),(('DATOS REFERENCIALES'!$C$9/1120)*H22)-(K22+N22+O22+P22+Q22+R22-T22-U22-V22-W22-X22+AA22)))</f>
        <v>2879.545464285713</v>
      </c>
      <c r="AC22" s="150">
        <f t="shared" si="9"/>
        <v>10762.566964285714</v>
      </c>
      <c r="AD22" s="106">
        <f>'DATOS REFERENCIALES'!$C$13</f>
        <v>1210</v>
      </c>
      <c r="AE22" s="308"/>
      <c r="AF22" s="150">
        <f>'DATOS REFERENCIALES'!$C$11</f>
        <v>320</v>
      </c>
      <c r="AG22" s="94">
        <f>'DATOS REFERENCIALES'!$C$12</f>
        <v>210</v>
      </c>
      <c r="AH22" s="94">
        <f t="shared" si="10"/>
        <v>12502.566964285714</v>
      </c>
      <c r="AI22" s="13"/>
      <c r="AJ22" s="13"/>
      <c r="AK22" s="13"/>
      <c r="AL22" s="18"/>
      <c r="AM22" s="19"/>
      <c r="AN22" s="19"/>
      <c r="AR22" s="8"/>
    </row>
    <row r="23" spans="1:44" s="1" customFormat="1" ht="21.75" customHeight="1" x14ac:dyDescent="0.2">
      <c r="A23" s="89">
        <v>1568</v>
      </c>
      <c r="B23" s="129" t="s">
        <v>81</v>
      </c>
      <c r="C23" s="47">
        <v>0</v>
      </c>
      <c r="D23" s="47"/>
      <c r="E23" s="47"/>
      <c r="F23" s="47"/>
      <c r="G23" s="75">
        <v>1008</v>
      </c>
      <c r="H23" s="61">
        <f t="shared" si="0"/>
        <v>1008</v>
      </c>
      <c r="I23" s="61"/>
      <c r="J23" s="61"/>
      <c r="K23" s="104">
        <f>H23*'DATOS REFERENCIALES'!$C$4</f>
        <v>5523.84</v>
      </c>
      <c r="L23" s="210"/>
      <c r="M23" s="210"/>
      <c r="N23" s="131">
        <f>LOOKUP(C23,'TABLA ANTIG.'!$A$4:$A$39,'TABLA ANTIG.'!$B$4:$B$39)*(K23)</f>
        <v>0</v>
      </c>
      <c r="O23" s="113">
        <f t="shared" si="1"/>
        <v>552.38400000000001</v>
      </c>
      <c r="P23" s="104">
        <f>'DATOS REFERENCIALES'!$C$8</f>
        <v>3640</v>
      </c>
      <c r="Q23" s="150">
        <f>LOOKUP(C23,'TABLA ANTIG.'!$A$4:$A$39,'TABLA ANTIG.'!$B$4:$B$39)*(P23)</f>
        <v>0</v>
      </c>
      <c r="R23" s="150">
        <v>0</v>
      </c>
      <c r="S23" s="31">
        <f t="shared" si="2"/>
        <v>9716.2240000000002</v>
      </c>
      <c r="T23" s="94">
        <f t="shared" si="3"/>
        <v>1068.7846400000001</v>
      </c>
      <c r="U23" s="94">
        <f t="shared" si="4"/>
        <v>291.48671999999999</v>
      </c>
      <c r="V23" s="94">
        <f t="shared" si="4"/>
        <v>291.48671999999999</v>
      </c>
      <c r="W23" s="94">
        <f t="shared" si="5"/>
        <v>194.32447999999999</v>
      </c>
      <c r="X23" s="94">
        <f t="shared" si="6"/>
        <v>437.23007999999999</v>
      </c>
      <c r="Y23" s="31">
        <f t="shared" si="7"/>
        <v>2283.3126400000001</v>
      </c>
      <c r="Z23" s="168">
        <f t="shared" si="8"/>
        <v>7432.9113600000001</v>
      </c>
      <c r="AA23" s="168">
        <f>'DATOS REFERENCIALES'!$C$10</f>
        <v>1294</v>
      </c>
      <c r="AB23" s="94">
        <f>IF((IF(H23&gt;1119,('DATOS REFERENCIALES'!$C$9-(S23-T23-U23-V23-W23-X23+AA23)),(('DATOS REFERENCIALES'!$C$9/1120)*H23)-(K23+N23+O23+P23+Q23+R23-T23-U23-V23-W23-X23+AA23)))&lt;0,0,IF(H23&gt;1119,(('DATOS REFERENCIALES'!$C$9)-(S23-T23-U23-V23-W23-X23+AA23)),(('DATOS REFERENCIALES'!$C$9/1120)*H23)-(K23+N23+O23+P23+Q23+R23-T23-U23-V23-W23-X23+AA23)))</f>
        <v>4422.9886400000014</v>
      </c>
      <c r="AC23" s="150">
        <f t="shared" si="9"/>
        <v>13149.900000000001</v>
      </c>
      <c r="AD23" s="106">
        <f>'DATOS REFERENCIALES'!$C$13</f>
        <v>1210</v>
      </c>
      <c r="AE23" s="308"/>
      <c r="AF23" s="150">
        <f>'DATOS REFERENCIALES'!$C$11</f>
        <v>320</v>
      </c>
      <c r="AG23" s="94">
        <f>'DATOS REFERENCIALES'!$C$12</f>
        <v>210</v>
      </c>
      <c r="AH23" s="94">
        <f t="shared" si="10"/>
        <v>14889.900000000001</v>
      </c>
      <c r="AI23" s="13"/>
      <c r="AJ23" s="13"/>
      <c r="AK23" s="13"/>
      <c r="AL23" s="18"/>
      <c r="AM23" s="19"/>
      <c r="AN23" s="19"/>
      <c r="AR23" s="8"/>
    </row>
    <row r="24" spans="1:44" s="1" customFormat="1" ht="21.75" customHeight="1" x14ac:dyDescent="0.2">
      <c r="A24" s="89">
        <v>1582</v>
      </c>
      <c r="B24" s="115" t="s">
        <v>16</v>
      </c>
      <c r="C24" s="47">
        <v>0</v>
      </c>
      <c r="D24" s="47"/>
      <c r="E24" s="47"/>
      <c r="F24" s="47"/>
      <c r="G24" s="75">
        <v>952</v>
      </c>
      <c r="H24" s="61">
        <f t="shared" si="0"/>
        <v>952</v>
      </c>
      <c r="I24" s="61"/>
      <c r="J24" s="61"/>
      <c r="K24" s="104">
        <f>H24*'DATOS REFERENCIALES'!$C$4</f>
        <v>5216.96</v>
      </c>
      <c r="L24" s="210"/>
      <c r="M24" s="210"/>
      <c r="N24" s="131">
        <f>LOOKUP(C24,'TABLA ANTIG.'!$A$4:$A$39,'TABLA ANTIG.'!$B$4:$B$39)*(K24)</f>
        <v>0</v>
      </c>
      <c r="O24" s="113">
        <f t="shared" si="1"/>
        <v>521.69600000000003</v>
      </c>
      <c r="P24" s="104">
        <f>'DATOS REFERENCIALES'!$C$8</f>
        <v>3640</v>
      </c>
      <c r="Q24" s="150">
        <f>LOOKUP(C24,'TABLA ANTIG.'!$A$4:$A$39,'TABLA ANTIG.'!$B$4:$B$39)*(P24)</f>
        <v>0</v>
      </c>
      <c r="R24" s="150">
        <v>0</v>
      </c>
      <c r="S24" s="31">
        <f t="shared" si="2"/>
        <v>9378.655999999999</v>
      </c>
      <c r="T24" s="94">
        <f t="shared" si="3"/>
        <v>1031.6521599999999</v>
      </c>
      <c r="U24" s="94">
        <f t="shared" si="4"/>
        <v>281.35967999999997</v>
      </c>
      <c r="V24" s="94">
        <f t="shared" si="4"/>
        <v>281.35967999999997</v>
      </c>
      <c r="W24" s="94">
        <f t="shared" si="5"/>
        <v>187.57311999999999</v>
      </c>
      <c r="X24" s="94">
        <f t="shared" si="6"/>
        <v>422.03951999999992</v>
      </c>
      <c r="Y24" s="31">
        <f t="shared" si="7"/>
        <v>2203.98416</v>
      </c>
      <c r="Z24" s="168">
        <f t="shared" si="8"/>
        <v>7174.6718399999991</v>
      </c>
      <c r="AA24" s="168">
        <f>'DATOS REFERENCIALES'!$C$10</f>
        <v>1294</v>
      </c>
      <c r="AB24" s="94">
        <f>IF((IF(H24&gt;1119,('DATOS REFERENCIALES'!$C$9-(S24-T24-U24-V24-W24-X24+AA24)),(('DATOS REFERENCIALES'!$C$9/1120)*H24)-(K24+N24+O24+P24+Q24+R24-T24-U24-V24-W24-X24+AA24)))&lt;0,0,IF(H24&gt;1119,(('DATOS REFERENCIALES'!$C$9)-(S24-T24-U24-V24-W24-X24+AA24)),(('DATOS REFERENCIALES'!$C$9/1120)*H24)-(K24+N24+O24+P24+Q24+R24-T24-U24-V24-W24-X24+AA24)))</f>
        <v>3950.6781600000013</v>
      </c>
      <c r="AC24" s="150">
        <f t="shared" si="9"/>
        <v>12419.35</v>
      </c>
      <c r="AD24" s="106">
        <f>'DATOS REFERENCIALES'!$C$13</f>
        <v>1210</v>
      </c>
      <c r="AE24" s="308"/>
      <c r="AF24" s="150">
        <f>'DATOS REFERENCIALES'!$C$11</f>
        <v>320</v>
      </c>
      <c r="AG24" s="94">
        <f>'DATOS REFERENCIALES'!$C$12</f>
        <v>210</v>
      </c>
      <c r="AH24" s="94">
        <f t="shared" si="10"/>
        <v>14159.35</v>
      </c>
      <c r="AI24" s="13"/>
      <c r="AJ24" s="13"/>
      <c r="AK24" s="13"/>
      <c r="AL24" s="18"/>
      <c r="AM24" s="19"/>
      <c r="AN24" s="19"/>
      <c r="AR24" s="8"/>
    </row>
    <row r="25" spans="1:44" s="1" customFormat="1" ht="21.75" customHeight="1" x14ac:dyDescent="0.2">
      <c r="A25" s="89">
        <v>1599</v>
      </c>
      <c r="B25" s="115" t="s">
        <v>33</v>
      </c>
      <c r="C25" s="47">
        <v>0</v>
      </c>
      <c r="D25" s="47">
        <v>1</v>
      </c>
      <c r="E25" s="47"/>
      <c r="F25" s="47"/>
      <c r="G25" s="75">
        <v>56</v>
      </c>
      <c r="H25" s="61">
        <f t="shared" si="0"/>
        <v>56</v>
      </c>
      <c r="I25" s="61"/>
      <c r="J25" s="61"/>
      <c r="K25" s="104">
        <f>(H25*'DATOS REFERENCIALES'!$C$4)*D25</f>
        <v>306.88</v>
      </c>
      <c r="L25" s="210"/>
      <c r="M25" s="210"/>
      <c r="N25" s="131">
        <f>LOOKUP(C25,'TABLA ANTIG.'!$A$4:$A$39,'TABLA ANTIG.'!$B$4:$B$39)*(K25)</f>
        <v>0</v>
      </c>
      <c r="O25" s="203">
        <f t="shared" si="1"/>
        <v>30.688000000000002</v>
      </c>
      <c r="P25" s="104">
        <f>IF(D25&gt;48,'DATOS REFERENCIALES'!$D$8+('DATOS REFERENCIALES'!$F$8*10),IF(D25&lt;39,'DATOS REFERENCIALES'!$E$8*D25,((D25-'DATOS REFERENCIALES'!$I$8)*'DATOS REFERENCIALES'!$F$8)+'DATOS REFERENCIALES'!$D$8))</f>
        <v>191.57</v>
      </c>
      <c r="Q25" s="174">
        <f>LOOKUP(C25,'TABLA ANTIG.'!$A$4:$A$39,'TABLA ANTIG.'!$B$4:$B$39)*(P25)</f>
        <v>0</v>
      </c>
      <c r="R25" s="150">
        <v>0</v>
      </c>
      <c r="S25" s="31">
        <f t="shared" si="2"/>
        <v>529.13799999999992</v>
      </c>
      <c r="T25" s="94">
        <f t="shared" si="3"/>
        <v>58.205179999999991</v>
      </c>
      <c r="U25" s="94">
        <f t="shared" si="4"/>
        <v>15.874139999999997</v>
      </c>
      <c r="V25" s="94">
        <f t="shared" si="4"/>
        <v>15.874139999999997</v>
      </c>
      <c r="W25" s="94">
        <f t="shared" si="5"/>
        <v>10.582759999999999</v>
      </c>
      <c r="X25" s="94">
        <f t="shared" si="6"/>
        <v>23.811209999999996</v>
      </c>
      <c r="Y25" s="31">
        <f t="shared" si="7"/>
        <v>124.34742999999997</v>
      </c>
      <c r="Z25" s="168">
        <f t="shared" si="8"/>
        <v>404.79056999999995</v>
      </c>
      <c r="AA25" s="168">
        <f>IF(D25&gt;38,'DATOS REFERENCIALES'!$D$10,'DATOS REFERENCIALES'!$E$10*D25)</f>
        <v>68.105000000000004</v>
      </c>
      <c r="AB25" s="94">
        <f>IF((IF(H25&gt;1119,('DATOS REFERENCIALES'!$C$9-(S25-T25-U25-V25-W25-X25+AA25)),('DATOS REFERENCIALES'!$C$9/20*D25)-(K25+N25+O25+P25+Q25+R25-T25-U25-V25-W25-X25+AA25)))&lt;0,0,IF(H25&gt;1119,(('DATOS REFERENCIALES'!$C$9/20*D25)-(S25-T25-U25-V25-W25-X25+AA25)),('DATOS REFERENCIALES'!$C$9/20*D25)-(K25+N25+O25+P25+Q25+R25-T25-U25-V25-W25-X25+AA25)))</f>
        <v>257.65443000000005</v>
      </c>
      <c r="AC25" s="150">
        <f t="shared" si="9"/>
        <v>730.55</v>
      </c>
      <c r="AD25" s="106">
        <f>IF(D25&gt;30,'DATOS REFERENCIALES'!$D$13,('DATOS REFERENCIALES'!$E$13*D25))</f>
        <v>80.666659999999993</v>
      </c>
      <c r="AE25" s="308"/>
      <c r="AF25" s="150">
        <f>IF(D25&gt;'DATOS REFERENCIALES'!$I$11,'DATOS REFERENCIALES'!$D$11,'DATOS REFERENCIALES'!$E$11*D25)</f>
        <v>21.34</v>
      </c>
      <c r="AG25" s="94">
        <f>IF(D25&gt;'DATOS REFERENCIALES'!$I$12,'DATOS REFERENCIALES'!$D$12,'DATOS REFERENCIALES'!$E$12*D25)</f>
        <v>14</v>
      </c>
      <c r="AH25" s="94">
        <f t="shared" si="10"/>
        <v>846.55665999999997</v>
      </c>
      <c r="AI25" s="13"/>
      <c r="AJ25" s="13"/>
      <c r="AK25" s="13"/>
      <c r="AL25" s="18"/>
      <c r="AM25" s="19"/>
      <c r="AN25" s="19"/>
      <c r="AR25" s="8"/>
    </row>
    <row r="26" spans="1:44" s="1" customFormat="1" ht="21.75" customHeight="1" x14ac:dyDescent="0.2">
      <c r="A26" s="89">
        <v>1599</v>
      </c>
      <c r="B26" s="115" t="s">
        <v>102</v>
      </c>
      <c r="C26" s="47">
        <v>0</v>
      </c>
      <c r="D26" s="47">
        <v>1</v>
      </c>
      <c r="E26" s="47"/>
      <c r="F26" s="47"/>
      <c r="G26" s="75">
        <v>56</v>
      </c>
      <c r="H26" s="61">
        <f t="shared" si="0"/>
        <v>56</v>
      </c>
      <c r="I26" s="61"/>
      <c r="J26" s="61"/>
      <c r="K26" s="104">
        <f>(H26*'DATOS REFERENCIALES'!$C$4)*D26</f>
        <v>306.88</v>
      </c>
      <c r="L26" s="210"/>
      <c r="M26" s="210"/>
      <c r="N26" s="131">
        <f>LOOKUP(C26,'TABLA ANTIG.'!$A$4:$A$39,'TABLA ANTIG.'!$B$4:$B$39)*(K26)</f>
        <v>0</v>
      </c>
      <c r="O26" s="113">
        <f t="shared" si="1"/>
        <v>30.688000000000002</v>
      </c>
      <c r="P26" s="104">
        <f>IF(D26&gt;48,'DATOS REFERENCIALES'!$D$8+('DATOS REFERENCIALES'!$F$8*10),IF(D26&lt;39,'DATOS REFERENCIALES'!$E$8*D26,((D26-'DATOS REFERENCIALES'!$I$8)*'DATOS REFERENCIALES'!$F$8)+'DATOS REFERENCIALES'!$D$8))</f>
        <v>191.57</v>
      </c>
      <c r="Q26" s="150">
        <f>LOOKUP(C26,'TABLA ANTIG.'!$A$4:$A$39,'TABLA ANTIG.'!$B$4:$B$39)*(P26)</f>
        <v>0</v>
      </c>
      <c r="R26" s="150">
        <v>0</v>
      </c>
      <c r="S26" s="31">
        <f t="shared" si="2"/>
        <v>529.13799999999992</v>
      </c>
      <c r="T26" s="94">
        <f t="shared" si="3"/>
        <v>58.205179999999991</v>
      </c>
      <c r="U26" s="94">
        <f t="shared" si="4"/>
        <v>15.874139999999997</v>
      </c>
      <c r="V26" s="94">
        <f t="shared" si="4"/>
        <v>15.874139999999997</v>
      </c>
      <c r="W26" s="94">
        <f t="shared" si="5"/>
        <v>10.582759999999999</v>
      </c>
      <c r="X26" s="94">
        <f t="shared" si="6"/>
        <v>23.811209999999996</v>
      </c>
      <c r="Y26" s="31">
        <f t="shared" si="7"/>
        <v>124.34742999999997</v>
      </c>
      <c r="Z26" s="168">
        <f t="shared" si="8"/>
        <v>404.79056999999995</v>
      </c>
      <c r="AA26" s="168">
        <f>IF(D26&gt;38,'DATOS REFERENCIALES'!$D$10,'DATOS REFERENCIALES'!$E$10*D26)</f>
        <v>68.105000000000004</v>
      </c>
      <c r="AB26" s="94">
        <f>IF((IF(H26&gt;1119,('DATOS REFERENCIALES'!$C$9-(S26-T26-U26-V26-W26-X26+AA26)),('DATOS REFERENCIALES'!$C$9/20*D26)-(K26+N26+O26+P26+Q26+R26-T26-U26-V26-W26-X26+AA26)))&lt;0,0,IF(H26&gt;1119,(('DATOS REFERENCIALES'!$C$9/20*D26)-(S26-T26-U26-V26-W26-X26+AA26)),('DATOS REFERENCIALES'!$C$9/20*D26)-(K26+N26+O26+P26+Q26+R26-T26-U26-V26-W26-X26+AA26)))</f>
        <v>257.65443000000005</v>
      </c>
      <c r="AC26" s="150">
        <f t="shared" si="9"/>
        <v>730.55</v>
      </c>
      <c r="AD26" s="106">
        <f>IF(D26&gt;30,'DATOS REFERENCIALES'!$D$13,('DATOS REFERENCIALES'!$E$13*D26))</f>
        <v>80.666659999999993</v>
      </c>
      <c r="AE26" s="308"/>
      <c r="AF26" s="150">
        <f>IF(D26&gt;'DATOS REFERENCIALES'!$I$11,'DATOS REFERENCIALES'!$D$11,'DATOS REFERENCIALES'!$E$11*D26)</f>
        <v>21.34</v>
      </c>
      <c r="AG26" s="94">
        <f>IF(D26&gt;'DATOS REFERENCIALES'!$I$12,'DATOS REFERENCIALES'!$D$12,'DATOS REFERENCIALES'!$E$12*D26)</f>
        <v>14</v>
      </c>
      <c r="AH26" s="94">
        <f t="shared" si="10"/>
        <v>846.55665999999997</v>
      </c>
      <c r="AI26" s="13"/>
      <c r="AJ26" s="13"/>
      <c r="AK26" s="13"/>
      <c r="AL26" s="18"/>
      <c r="AM26" s="19"/>
      <c r="AN26" s="19"/>
      <c r="AR26" s="8"/>
    </row>
    <row r="27" spans="1:44" s="1" customFormat="1" ht="21.75" customHeight="1" x14ac:dyDescent="0.2">
      <c r="A27" s="89">
        <v>1599</v>
      </c>
      <c r="B27" s="115" t="s">
        <v>103</v>
      </c>
      <c r="C27" s="47">
        <v>0</v>
      </c>
      <c r="D27" s="47">
        <v>1</v>
      </c>
      <c r="E27" s="47"/>
      <c r="F27" s="47"/>
      <c r="G27" s="75">
        <v>56</v>
      </c>
      <c r="H27" s="61">
        <f t="shared" si="0"/>
        <v>56</v>
      </c>
      <c r="I27" s="61"/>
      <c r="J27" s="61"/>
      <c r="K27" s="104">
        <f>(H27*'DATOS REFERENCIALES'!$C$4)*D27</f>
        <v>306.88</v>
      </c>
      <c r="L27" s="210"/>
      <c r="M27" s="210"/>
      <c r="N27" s="131">
        <f>LOOKUP(C27,'TABLA ANTIG.'!$A$4:$A$39,'TABLA ANTIG.'!$B$4:$B$39)*(K27)</f>
        <v>0</v>
      </c>
      <c r="O27" s="113">
        <f t="shared" si="1"/>
        <v>30.688000000000002</v>
      </c>
      <c r="P27" s="104">
        <f>IF(D27&gt;48,'DATOS REFERENCIALES'!$D$8+('DATOS REFERENCIALES'!$F$8*10),IF(D27&lt;39,'DATOS REFERENCIALES'!$E$8*D27,((D27-'DATOS REFERENCIALES'!$I$8)*'DATOS REFERENCIALES'!$F$8)+'DATOS REFERENCIALES'!$D$8))</f>
        <v>191.57</v>
      </c>
      <c r="Q27" s="150">
        <f>LOOKUP(C27,'TABLA ANTIG.'!$A$4:$A$39,'TABLA ANTIG.'!$B$4:$B$39)*(P27)</f>
        <v>0</v>
      </c>
      <c r="R27" s="150">
        <v>0</v>
      </c>
      <c r="S27" s="31">
        <f t="shared" si="2"/>
        <v>529.13799999999992</v>
      </c>
      <c r="T27" s="94">
        <f t="shared" si="3"/>
        <v>58.205179999999991</v>
      </c>
      <c r="U27" s="94">
        <f t="shared" si="4"/>
        <v>15.874139999999997</v>
      </c>
      <c r="V27" s="94">
        <f t="shared" si="4"/>
        <v>15.874139999999997</v>
      </c>
      <c r="W27" s="94">
        <f t="shared" si="5"/>
        <v>10.582759999999999</v>
      </c>
      <c r="X27" s="94">
        <f t="shared" si="6"/>
        <v>23.811209999999996</v>
      </c>
      <c r="Y27" s="31">
        <f t="shared" si="7"/>
        <v>124.34742999999997</v>
      </c>
      <c r="Z27" s="168">
        <f t="shared" si="8"/>
        <v>404.79056999999995</v>
      </c>
      <c r="AA27" s="168">
        <f>IF(D27&gt;38,'DATOS REFERENCIALES'!$D$10,'DATOS REFERENCIALES'!$E$10*D27)</f>
        <v>68.105000000000004</v>
      </c>
      <c r="AB27" s="94">
        <f>IF((IF(H27&gt;1119,('DATOS REFERENCIALES'!$C$9-(S27-T27-U27-V27-W27-X27+AA27)),('DATOS REFERENCIALES'!$C$9/20*D27)-(K27+N27+O27+P27+Q27+R27-T27-U27-V27-W27-X27+AA27)))&lt;0,0,IF(H27&gt;1119,(('DATOS REFERENCIALES'!$C$9/20*D27)-(S27-T27-U27-V27-W27-X27+AA27)),('DATOS REFERENCIALES'!$C$9/20*D27)-(K27+N27+O27+P27+Q27+R27-T27-U27-V27-W27-X27+AA27)))</f>
        <v>257.65443000000005</v>
      </c>
      <c r="AC27" s="150">
        <f t="shared" si="9"/>
        <v>730.55</v>
      </c>
      <c r="AD27" s="106">
        <f>IF(D27&gt;30,'DATOS REFERENCIALES'!$D$13,('DATOS REFERENCIALES'!$E$13*D27))</f>
        <v>80.666659999999993</v>
      </c>
      <c r="AE27" s="308"/>
      <c r="AF27" s="150">
        <f>IF(D27&gt;'DATOS REFERENCIALES'!$I$11,'DATOS REFERENCIALES'!$D$11,'DATOS REFERENCIALES'!$E$11*D27)</f>
        <v>21.34</v>
      </c>
      <c r="AG27" s="94">
        <f>IF(D27&gt;'DATOS REFERENCIALES'!$I$12,'DATOS REFERENCIALES'!$D$12,'DATOS REFERENCIALES'!$E$12*D27)</f>
        <v>14</v>
      </c>
      <c r="AH27" s="94">
        <f t="shared" si="10"/>
        <v>846.55665999999997</v>
      </c>
      <c r="AI27" s="13"/>
      <c r="AJ27" s="13"/>
      <c r="AK27" s="13"/>
      <c r="AL27" s="156"/>
      <c r="AM27" s="19"/>
      <c r="AN27" s="19"/>
      <c r="AR27" s="8"/>
    </row>
    <row r="28" spans="1:44" s="1" customFormat="1" ht="21.75" customHeight="1" x14ac:dyDescent="0.2">
      <c r="A28" s="89">
        <v>1599</v>
      </c>
      <c r="B28" s="115" t="s">
        <v>104</v>
      </c>
      <c r="C28" s="47">
        <v>0</v>
      </c>
      <c r="D28" s="47">
        <v>1</v>
      </c>
      <c r="E28" s="47"/>
      <c r="F28" s="47"/>
      <c r="G28" s="75">
        <v>56</v>
      </c>
      <c r="H28" s="61">
        <f t="shared" si="0"/>
        <v>56</v>
      </c>
      <c r="I28" s="61"/>
      <c r="J28" s="61"/>
      <c r="K28" s="104">
        <f>(H28*'DATOS REFERENCIALES'!$C$4)*D28</f>
        <v>306.88</v>
      </c>
      <c r="L28" s="210"/>
      <c r="M28" s="210"/>
      <c r="N28" s="131">
        <f>LOOKUP(C28,'TABLA ANTIG.'!$A$4:$A$39,'TABLA ANTIG.'!$B$4:$B$39)*(K28)</f>
        <v>0</v>
      </c>
      <c r="O28" s="113">
        <f t="shared" si="1"/>
        <v>30.688000000000002</v>
      </c>
      <c r="P28" s="104">
        <f>IF(D28&gt;48,'DATOS REFERENCIALES'!$D$8+('DATOS REFERENCIALES'!$F$8*10),IF(D28&lt;39,'DATOS REFERENCIALES'!$E$8*D28,((D28-'DATOS REFERENCIALES'!$I$8)*'DATOS REFERENCIALES'!$F$8)+'DATOS REFERENCIALES'!$D$8))</f>
        <v>191.57</v>
      </c>
      <c r="Q28" s="150">
        <f>LOOKUP(C28,'TABLA ANTIG.'!$A$4:$A$39,'TABLA ANTIG.'!$B$4:$B$39)*(P28)</f>
        <v>0</v>
      </c>
      <c r="R28" s="150">
        <v>0</v>
      </c>
      <c r="S28" s="31">
        <f t="shared" si="2"/>
        <v>529.13799999999992</v>
      </c>
      <c r="T28" s="94">
        <f t="shared" si="3"/>
        <v>58.205179999999991</v>
      </c>
      <c r="U28" s="94">
        <f t="shared" si="4"/>
        <v>15.874139999999997</v>
      </c>
      <c r="V28" s="94">
        <f t="shared" si="4"/>
        <v>15.874139999999997</v>
      </c>
      <c r="W28" s="94">
        <f t="shared" si="5"/>
        <v>10.582759999999999</v>
      </c>
      <c r="X28" s="94">
        <f t="shared" si="6"/>
        <v>23.811209999999996</v>
      </c>
      <c r="Y28" s="31">
        <f t="shared" si="7"/>
        <v>124.34742999999997</v>
      </c>
      <c r="Z28" s="168">
        <f t="shared" si="8"/>
        <v>404.79056999999995</v>
      </c>
      <c r="AA28" s="168">
        <f>IF(D28&gt;38,'DATOS REFERENCIALES'!$D$10,'DATOS REFERENCIALES'!$E$10*D28)</f>
        <v>68.105000000000004</v>
      </c>
      <c r="AB28" s="94">
        <f>IF((IF(H28&gt;1119,('DATOS REFERENCIALES'!$C$9-(S28-T28-U28-V28-W28-X28+AA28)),('DATOS REFERENCIALES'!$C$9/20*D28)-(K28+N28+O28+P28+Q28+R28-T28-U28-V28-W28-X28+AA28)))&lt;0,0,IF(H28&gt;1119,(('DATOS REFERENCIALES'!$C$9/20*D28)-(S28-T28-U28-V28-W28-X28+AA28)),('DATOS REFERENCIALES'!$C$9/20*D28)-(K28+N28+O28+P28+Q28+R28-T28-U28-V28-W28-X28+AA28)))</f>
        <v>257.65443000000005</v>
      </c>
      <c r="AC28" s="150">
        <f t="shared" si="9"/>
        <v>730.55</v>
      </c>
      <c r="AD28" s="106">
        <f>IF(D28&gt;30,'DATOS REFERENCIALES'!$D$13,('DATOS REFERENCIALES'!$E$13*D28))</f>
        <v>80.666659999999993</v>
      </c>
      <c r="AE28" s="308"/>
      <c r="AF28" s="150">
        <f>IF(D28&gt;'DATOS REFERENCIALES'!$I$11,'DATOS REFERENCIALES'!$D$11,'DATOS REFERENCIALES'!$E$11*D28)</f>
        <v>21.34</v>
      </c>
      <c r="AG28" s="94">
        <f>IF(D28&gt;'DATOS REFERENCIALES'!$I$12,'DATOS REFERENCIALES'!$D$12,'DATOS REFERENCIALES'!$E$12*D28)</f>
        <v>14</v>
      </c>
      <c r="AH28" s="94">
        <f t="shared" si="10"/>
        <v>846.55665999999997</v>
      </c>
      <c r="AI28" s="13"/>
      <c r="AJ28" s="13"/>
      <c r="AK28" s="13"/>
      <c r="AL28" s="18"/>
      <c r="AM28" s="19"/>
      <c r="AN28" s="19"/>
      <c r="AR28" s="8"/>
    </row>
    <row r="29" spans="1:44" s="1" customFormat="1" ht="21.75" customHeight="1" thickBot="1" x14ac:dyDescent="0.25">
      <c r="A29" s="90">
        <v>1599</v>
      </c>
      <c r="B29" s="117" t="s">
        <v>105</v>
      </c>
      <c r="C29" s="69">
        <v>0</v>
      </c>
      <c r="D29" s="69">
        <v>1</v>
      </c>
      <c r="E29" s="69"/>
      <c r="F29" s="69"/>
      <c r="G29" s="79">
        <v>56</v>
      </c>
      <c r="H29" s="130">
        <f t="shared" si="0"/>
        <v>56</v>
      </c>
      <c r="I29" s="130"/>
      <c r="J29" s="130"/>
      <c r="K29" s="105">
        <f>(H29*'DATOS REFERENCIALES'!$C$4)*D29</f>
        <v>306.88</v>
      </c>
      <c r="L29" s="211"/>
      <c r="M29" s="211"/>
      <c r="N29" s="132">
        <f>LOOKUP(C29,'TABLA ANTIG.'!$A$4:$A$39,'TABLA ANTIG.'!$B$4:$B$39)*(K29)</f>
        <v>0</v>
      </c>
      <c r="O29" s="204">
        <f t="shared" si="1"/>
        <v>30.688000000000002</v>
      </c>
      <c r="P29" s="105">
        <f>IF(D29&gt;48,'DATOS REFERENCIALES'!$D$8+('DATOS REFERENCIALES'!$F$8*10),IF(D29&lt;39,'DATOS REFERENCIALES'!$E$8*D29,((D29-'DATOS REFERENCIALES'!$I$8)*'DATOS REFERENCIALES'!$F$8)+'DATOS REFERENCIALES'!$D$8))</f>
        <v>191.57</v>
      </c>
      <c r="Q29" s="192">
        <f>LOOKUP(C29,'TABLA ANTIG.'!$A$4:$A$39,'TABLA ANTIG.'!$B$4:$B$39)*(P29)</f>
        <v>0</v>
      </c>
      <c r="R29" s="151">
        <v>0</v>
      </c>
      <c r="S29" s="35">
        <f t="shared" si="2"/>
        <v>529.13799999999992</v>
      </c>
      <c r="T29" s="95">
        <f t="shared" si="3"/>
        <v>58.205179999999991</v>
      </c>
      <c r="U29" s="95">
        <f t="shared" si="4"/>
        <v>15.874139999999997</v>
      </c>
      <c r="V29" s="95">
        <f t="shared" si="4"/>
        <v>15.874139999999997</v>
      </c>
      <c r="W29" s="95">
        <f t="shared" si="5"/>
        <v>10.582759999999999</v>
      </c>
      <c r="X29" s="95">
        <f t="shared" si="6"/>
        <v>23.811209999999996</v>
      </c>
      <c r="Y29" s="35">
        <f t="shared" si="7"/>
        <v>124.34742999999997</v>
      </c>
      <c r="Z29" s="171">
        <f t="shared" si="8"/>
        <v>404.79056999999995</v>
      </c>
      <c r="AA29" s="171">
        <f>IF(D29&gt;38,'DATOS REFERENCIALES'!$D$10,'DATOS REFERENCIALES'!$E$10*D29)</f>
        <v>68.105000000000004</v>
      </c>
      <c r="AB29" s="95">
        <f>IF((IF(H29&gt;1119,('DATOS REFERENCIALES'!$C$9-(S29-T29-U29-V29-W29-X29+AA29)),('DATOS REFERENCIALES'!$C$9/20*D29)-(K29+N29+O29+P29+Q29+R29-T29-U29-V29-W29-X29+AA29)))&lt;0,0,IF(H29&gt;1119,(('DATOS REFERENCIALES'!$C$9/20*D29)-(S29-T29-U29-V29-W29-X29+AA29)),('DATOS REFERENCIALES'!$C$9/20*D29)-(K29+N29+O29+P29+Q29+R29-T29-U29-V29-W29-X29+AA29)))</f>
        <v>257.65443000000005</v>
      </c>
      <c r="AC29" s="151">
        <f t="shared" si="9"/>
        <v>730.55</v>
      </c>
      <c r="AD29" s="107">
        <f>IF(D29&gt;30,'DATOS REFERENCIALES'!$D$13,('DATOS REFERENCIALES'!$E$13*D29))</f>
        <v>80.666659999999993</v>
      </c>
      <c r="AE29" s="306"/>
      <c r="AF29" s="151">
        <f>IF(D29&gt;'DATOS REFERENCIALES'!$I$11,'DATOS REFERENCIALES'!$D$11,'DATOS REFERENCIALES'!$E$11*D29)</f>
        <v>21.34</v>
      </c>
      <c r="AG29" s="95">
        <f>IF(D29&gt;'DATOS REFERENCIALES'!$I$12,'DATOS REFERENCIALES'!$D$12,'DATOS REFERENCIALES'!$E$12*D29)</f>
        <v>14</v>
      </c>
      <c r="AH29" s="95">
        <f t="shared" si="10"/>
        <v>846.55665999999997</v>
      </c>
      <c r="AI29" s="13"/>
      <c r="AJ29" s="13"/>
      <c r="AK29" s="13"/>
      <c r="AL29" s="18"/>
      <c r="AM29" s="19"/>
      <c r="AN29" s="19"/>
      <c r="AR29" s="8"/>
    </row>
    <row r="30" spans="1:44" s="1" customFormat="1" ht="15.75" thickBot="1" x14ac:dyDescent="0.25">
      <c r="A30" s="55"/>
      <c r="B30" s="50"/>
      <c r="C30" s="51"/>
      <c r="D30" s="51"/>
      <c r="E30" s="51"/>
      <c r="F30" s="51"/>
      <c r="G30" s="51"/>
      <c r="H30" s="56"/>
      <c r="I30" s="56"/>
      <c r="J30" s="56"/>
      <c r="K30" s="52"/>
      <c r="L30" s="52"/>
      <c r="M30" s="52"/>
      <c r="N30" s="54"/>
      <c r="O30" s="54"/>
      <c r="P30" s="53"/>
      <c r="Q30" s="52"/>
      <c r="R30" s="54"/>
      <c r="S30" s="54"/>
      <c r="T30" s="54"/>
      <c r="U30" s="54"/>
      <c r="V30" s="54"/>
      <c r="W30" s="54"/>
      <c r="X30" s="54"/>
      <c r="Y30" s="54"/>
      <c r="Z30" s="57"/>
      <c r="AA30" s="58"/>
      <c r="AB30" s="57"/>
      <c r="AC30" s="57"/>
      <c r="AD30" s="59"/>
      <c r="AE30" s="59"/>
      <c r="AF30" s="59"/>
      <c r="AG30" s="59"/>
      <c r="AH30" s="57"/>
      <c r="AI30" s="13"/>
      <c r="AJ30" s="13"/>
      <c r="AK30" s="13"/>
      <c r="AL30" s="18"/>
      <c r="AM30" s="19"/>
      <c r="AN30" s="19"/>
      <c r="AR30" s="8"/>
    </row>
    <row r="31" spans="1:44" s="1" customFormat="1" ht="21" thickBot="1" x14ac:dyDescent="0.35">
      <c r="A31" s="109" t="s">
        <v>141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652" t="s">
        <v>141</v>
      </c>
      <c r="AD31" s="653"/>
      <c r="AE31" s="653"/>
      <c r="AF31" s="653"/>
      <c r="AG31" s="653"/>
      <c r="AH31" s="653"/>
      <c r="AI31" s="13"/>
      <c r="AJ31" s="13"/>
      <c r="AK31" s="13"/>
      <c r="AL31" s="18"/>
      <c r="AM31" s="19"/>
      <c r="AN31" s="19"/>
    </row>
    <row r="32" spans="1:44" s="2" customFormat="1" ht="12.75" customHeight="1" thickBot="1" x14ac:dyDescent="0.25">
      <c r="A32" s="623" t="s">
        <v>1</v>
      </c>
      <c r="B32" s="623" t="s">
        <v>0</v>
      </c>
      <c r="C32" s="585" t="s">
        <v>83</v>
      </c>
      <c r="D32" s="585" t="s">
        <v>126</v>
      </c>
      <c r="E32" s="585" t="s">
        <v>134</v>
      </c>
      <c r="F32" s="585" t="s">
        <v>120</v>
      </c>
      <c r="G32" s="585" t="s">
        <v>109</v>
      </c>
      <c r="H32" s="585" t="s">
        <v>85</v>
      </c>
      <c r="I32" s="585" t="s">
        <v>156</v>
      </c>
      <c r="J32" s="602" t="s">
        <v>155</v>
      </c>
      <c r="K32" s="602" t="s">
        <v>128</v>
      </c>
      <c r="L32" s="602" t="s">
        <v>154</v>
      </c>
      <c r="M32" s="602" t="s">
        <v>155</v>
      </c>
      <c r="N32" s="646" t="s">
        <v>91</v>
      </c>
      <c r="O32" s="596" t="s">
        <v>127</v>
      </c>
      <c r="P32" s="611" t="s">
        <v>92</v>
      </c>
      <c r="Q32" s="596" t="s">
        <v>108</v>
      </c>
      <c r="R32" s="596" t="s">
        <v>90</v>
      </c>
      <c r="S32" s="596" t="s">
        <v>74</v>
      </c>
      <c r="T32" s="615" t="s">
        <v>63</v>
      </c>
      <c r="U32" s="615"/>
      <c r="V32" s="615"/>
      <c r="W32" s="615"/>
      <c r="X32" s="615"/>
      <c r="Y32" s="585" t="s">
        <v>73</v>
      </c>
      <c r="Z32" s="616" t="s">
        <v>95</v>
      </c>
      <c r="AA32" s="585" t="s">
        <v>94</v>
      </c>
      <c r="AB32" s="585" t="s">
        <v>93</v>
      </c>
      <c r="AC32" s="585" t="s">
        <v>97</v>
      </c>
      <c r="AD32" s="585" t="s">
        <v>96</v>
      </c>
      <c r="AE32" s="585" t="s">
        <v>182</v>
      </c>
      <c r="AF32" s="585" t="s">
        <v>107</v>
      </c>
      <c r="AG32" s="618" t="s">
        <v>153</v>
      </c>
      <c r="AH32" s="585" t="s">
        <v>98</v>
      </c>
      <c r="AI32" s="17"/>
      <c r="AJ32" s="17"/>
      <c r="AK32" s="17"/>
      <c r="AL32" s="18"/>
      <c r="AM32" s="19"/>
      <c r="AN32" s="19"/>
    </row>
    <row r="33" spans="1:44" s="2" customFormat="1" ht="89.25" customHeight="1" thickBot="1" x14ac:dyDescent="0.25">
      <c r="A33" s="624"/>
      <c r="B33" s="624"/>
      <c r="C33" s="586"/>
      <c r="D33" s="586"/>
      <c r="E33" s="586"/>
      <c r="F33" s="586"/>
      <c r="G33" s="586"/>
      <c r="H33" s="586"/>
      <c r="I33" s="586"/>
      <c r="J33" s="603"/>
      <c r="K33" s="603"/>
      <c r="L33" s="603"/>
      <c r="M33" s="603"/>
      <c r="N33" s="649"/>
      <c r="O33" s="597"/>
      <c r="P33" s="612"/>
      <c r="Q33" s="597"/>
      <c r="R33" s="629"/>
      <c r="S33" s="651"/>
      <c r="T33" s="112" t="s">
        <v>148</v>
      </c>
      <c r="U33" s="112" t="s">
        <v>65</v>
      </c>
      <c r="V33" s="112" t="s">
        <v>66</v>
      </c>
      <c r="W33" s="112" t="s">
        <v>67</v>
      </c>
      <c r="X33" s="165" t="s">
        <v>68</v>
      </c>
      <c r="Y33" s="626"/>
      <c r="Z33" s="654"/>
      <c r="AA33" s="626"/>
      <c r="AB33" s="626"/>
      <c r="AC33" s="626"/>
      <c r="AD33" s="626"/>
      <c r="AE33" s="586"/>
      <c r="AF33" s="586"/>
      <c r="AG33" s="586"/>
      <c r="AH33" s="626"/>
      <c r="AI33" s="17"/>
      <c r="AJ33" s="17"/>
      <c r="AK33" s="17"/>
      <c r="AL33" s="18"/>
      <c r="AM33" s="19"/>
      <c r="AN33" s="19"/>
    </row>
    <row r="34" spans="1:44" s="1" customFormat="1" ht="21.75" customHeight="1" x14ac:dyDescent="0.2">
      <c r="A34" s="374">
        <v>5080</v>
      </c>
      <c r="B34" s="527" t="s">
        <v>25</v>
      </c>
      <c r="C34" s="374">
        <v>0</v>
      </c>
      <c r="D34" s="528"/>
      <c r="E34" s="528"/>
      <c r="F34" s="528"/>
      <c r="G34" s="512">
        <v>3128</v>
      </c>
      <c r="H34" s="476">
        <f t="shared" ref="H34:H50" si="11">SUM(G34:G34)</f>
        <v>3128</v>
      </c>
      <c r="I34" s="476"/>
      <c r="J34" s="476"/>
      <c r="K34" s="379">
        <f>H34*'DATOS REFERENCIALES'!$C$4</f>
        <v>17141.440000000002</v>
      </c>
      <c r="L34" s="379"/>
      <c r="M34" s="379"/>
      <c r="N34" s="381">
        <f>LOOKUP(C34,'TABLA ANTIG.'!$A$4:$A$39,'TABLA ANTIG.'!$B$4:$B$39)*(K34)</f>
        <v>0</v>
      </c>
      <c r="O34" s="381">
        <f t="shared" ref="O34:O50" si="12">K34*0.1</f>
        <v>1714.1440000000002</v>
      </c>
      <c r="P34" s="529">
        <f>'DATOS REFERENCIALES'!$D$8</f>
        <v>7280</v>
      </c>
      <c r="Q34" s="381">
        <f>LOOKUP(C34,'TABLA ANTIG.'!$A$4:$A$39,'TABLA ANTIG.'!$B$4:$B$39)*(P34)</f>
        <v>0</v>
      </c>
      <c r="R34" s="530">
        <v>0</v>
      </c>
      <c r="S34" s="381">
        <f t="shared" ref="S34:S50" si="13">K34+N34+O34+P34+Q34+R34</f>
        <v>26135.584000000003</v>
      </c>
      <c r="T34" s="381">
        <f t="shared" ref="T34:T50" si="14">$S34*11%</f>
        <v>2874.9142400000005</v>
      </c>
      <c r="U34" s="381">
        <f t="shared" ref="U34:V50" si="15">$S34*3%</f>
        <v>784.06752000000006</v>
      </c>
      <c r="V34" s="381">
        <f t="shared" si="15"/>
        <v>784.06752000000006</v>
      </c>
      <c r="W34" s="381">
        <f t="shared" ref="W34:W50" si="16">$S34*2%</f>
        <v>522.71168000000011</v>
      </c>
      <c r="X34" s="380">
        <f t="shared" ref="X34:X50" si="17">$S34*4.5%</f>
        <v>1176.1012800000001</v>
      </c>
      <c r="Y34" s="381">
        <f t="shared" ref="Y34:Y50" si="18">SUM(T34:X34)</f>
        <v>6141.8622400000013</v>
      </c>
      <c r="Z34" s="385">
        <f t="shared" ref="Z34:Z50" si="19">S34-Y34</f>
        <v>19993.72176</v>
      </c>
      <c r="AA34" s="406">
        <f>'DATOS REFERENCIALES'!$D$10</f>
        <v>2588</v>
      </c>
      <c r="AB34" s="381">
        <f>IF((IF(H34&gt;2240,('DATOS REFERENCIALES'!$D$9-(S34-T34-U34-V34-W34-X34+AA34)),(('DATOS REFERENCIALES'!$D$9/2240)*2240)-(K34+N34+O34+P34+Q34+R34-T34-U34-V34-W34-X34+AA34)))&lt;0,0,IF(2240&gt;2240,(('DATOS REFERENCIALES'!$D$9)-(S34-T34-U34-V34-W34-X34+AA34)),(('DATOS REFERENCIALES'!$D$9/2240)*2240)-(K34+N34+O34+P34+Q34+R34-T34-U34-V34-W34-X34+AA34)))</f>
        <v>6640.2782399999996</v>
      </c>
      <c r="AC34" s="381">
        <f t="shared" ref="AC34:AC50" si="20">SUM(Z34:AB34)</f>
        <v>29222</v>
      </c>
      <c r="AD34" s="386">
        <f>'DATOS REFERENCIALES'!$D$13</f>
        <v>2420</v>
      </c>
      <c r="AE34" s="408"/>
      <c r="AF34" s="385">
        <f>'DATOS REFERENCIALES'!$D$11</f>
        <v>640</v>
      </c>
      <c r="AG34" s="384">
        <f>'DATOS REFERENCIALES'!$D$12</f>
        <v>420</v>
      </c>
      <c r="AH34" s="583">
        <f>SUM(AC34:AG34)+SUM(AC35:AG35)</f>
        <v>34649.310437599997</v>
      </c>
      <c r="AI34" s="13"/>
      <c r="AJ34" s="13"/>
      <c r="AK34" s="13"/>
      <c r="AL34" s="18"/>
      <c r="AM34" s="19"/>
      <c r="AN34" s="19"/>
      <c r="AR34" s="8"/>
    </row>
    <row r="35" spans="1:44" s="1" customFormat="1" ht="26.25" customHeight="1" thickBot="1" x14ac:dyDescent="0.25">
      <c r="A35" s="389">
        <v>5080</v>
      </c>
      <c r="B35" s="531" t="s">
        <v>25</v>
      </c>
      <c r="C35" s="389">
        <f>IF(C34&gt;0,C34,0)</f>
        <v>0</v>
      </c>
      <c r="D35" s="532"/>
      <c r="E35" s="532"/>
      <c r="F35" s="532"/>
      <c r="G35" s="513"/>
      <c r="H35" s="514"/>
      <c r="I35" s="389">
        <v>234.6</v>
      </c>
      <c r="J35" s="393" t="s">
        <v>158</v>
      </c>
      <c r="K35" s="394"/>
      <c r="L35" s="394">
        <f>I35*'DATOS REFERENCIALES'!$C$4</f>
        <v>1285.6080000000002</v>
      </c>
      <c r="M35" s="394">
        <f>IF(J35='DATOS REFERENCIALES'!$C$28,K34*'DATOS REFERENCIALES'!$D$28,IF(J35='DATOS REFERENCIALES'!$C$29,('DATOS REFERENCIALES'!$D$29*K34),IF(J35='DATOS REFERENCIALES'!$C$30,('DATOS REFERENCIALES'!$D$30*K34),IF(J35='DATOS REFERENCIALES'!$C$31,('DATOS REFERENCIALES'!$D$31*K34),IF(J35='DATOS REFERENCIALES'!$C$32,('DATOS REFERENCIALES'!$D$32*K34),IF(J35='DATOS REFERENCIALES'!$C$33,('DATOS REFERENCIALES'!$D$33*K34),IF(J35='DATOS REFERENCIALES'!$C$34,('DATOS REFERENCIALES'!$D$34*K34),IF(J35='DATOS REFERENCIALES'!$C$35,('DATOS REFERENCIALES'!$D$35*K34),0))))))))</f>
        <v>1028.4864</v>
      </c>
      <c r="N35" s="396">
        <f>LOOKUP(C35,'TABLA ANTIG.'!$A$4:$A$39,'TABLA ANTIG.'!$B$4:$B$39)*(L35+M35)</f>
        <v>0</v>
      </c>
      <c r="O35" s="396">
        <f>(L35+M35)*0.1</f>
        <v>231.40944000000002</v>
      </c>
      <c r="P35" s="394"/>
      <c r="Q35" s="396"/>
      <c r="R35" s="396"/>
      <c r="S35" s="396">
        <f>L35+M35+N35+O35+P35+Q35+R35</f>
        <v>2545.5038399999999</v>
      </c>
      <c r="T35" s="399">
        <f t="shared" si="14"/>
        <v>280.00542239999999</v>
      </c>
      <c r="U35" s="396">
        <f t="shared" si="15"/>
        <v>76.365115199999991</v>
      </c>
      <c r="V35" s="399">
        <f t="shared" si="15"/>
        <v>76.365115199999991</v>
      </c>
      <c r="W35" s="396">
        <f>$S35*2%</f>
        <v>50.910076799999999</v>
      </c>
      <c r="X35" s="396">
        <f t="shared" si="17"/>
        <v>114.54767279999999</v>
      </c>
      <c r="Y35" s="396">
        <f t="shared" si="18"/>
        <v>598.19340239999997</v>
      </c>
      <c r="Z35" s="400">
        <f t="shared" si="19"/>
        <v>1947.3104375999999</v>
      </c>
      <c r="AA35" s="396"/>
      <c r="AB35" s="396"/>
      <c r="AC35" s="395">
        <f t="shared" si="20"/>
        <v>1947.3104375999999</v>
      </c>
      <c r="AD35" s="401"/>
      <c r="AE35" s="414"/>
      <c r="AF35" s="395"/>
      <c r="AG35" s="396"/>
      <c r="AH35" s="584"/>
      <c r="AI35" s="13"/>
      <c r="AJ35" s="13"/>
      <c r="AK35" s="13"/>
      <c r="AL35" s="18"/>
      <c r="AM35" s="19"/>
      <c r="AN35" s="19"/>
      <c r="AR35" s="8"/>
    </row>
    <row r="36" spans="1:44" s="1" customFormat="1" ht="27.75" customHeight="1" x14ac:dyDescent="0.2">
      <c r="A36" s="312">
        <v>5014</v>
      </c>
      <c r="B36" s="536" t="s">
        <v>34</v>
      </c>
      <c r="C36" s="312">
        <v>0</v>
      </c>
      <c r="D36" s="312"/>
      <c r="E36" s="312"/>
      <c r="F36" s="312"/>
      <c r="G36" s="515">
        <v>2415</v>
      </c>
      <c r="H36" s="501">
        <f t="shared" si="11"/>
        <v>2415</v>
      </c>
      <c r="I36" s="501"/>
      <c r="J36" s="501"/>
      <c r="K36" s="314">
        <f>H36*'DATOS REFERENCIALES'!$C$4</f>
        <v>13234.2</v>
      </c>
      <c r="L36" s="314"/>
      <c r="M36" s="314"/>
      <c r="N36" s="316">
        <f>LOOKUP(C36,'TABLA ANTIG.'!$A$4:$A$39,'TABLA ANTIG.'!$B$4:$B$39)*(K36)</f>
        <v>0</v>
      </c>
      <c r="O36" s="316">
        <f t="shared" si="12"/>
        <v>1323.42</v>
      </c>
      <c r="P36" s="314">
        <f>'DATOS REFERENCIALES'!$C$8</f>
        <v>3640</v>
      </c>
      <c r="Q36" s="316">
        <f>LOOKUP(C36,'TABLA ANTIG.'!$A$4:$A$39,'TABLA ANTIG.'!$B$4:$B$39)*(P36)</f>
        <v>0</v>
      </c>
      <c r="R36" s="454">
        <v>0</v>
      </c>
      <c r="S36" s="454">
        <f t="shared" si="13"/>
        <v>18197.620000000003</v>
      </c>
      <c r="T36" s="454">
        <f t="shared" si="14"/>
        <v>2001.7382000000002</v>
      </c>
      <c r="U36" s="454">
        <f t="shared" si="15"/>
        <v>545.92860000000007</v>
      </c>
      <c r="V36" s="454">
        <f t="shared" si="15"/>
        <v>545.92860000000007</v>
      </c>
      <c r="W36" s="454">
        <f t="shared" si="16"/>
        <v>363.95240000000007</v>
      </c>
      <c r="X36" s="537">
        <f t="shared" si="17"/>
        <v>818.89290000000005</v>
      </c>
      <c r="Y36" s="454">
        <f t="shared" si="18"/>
        <v>4276.440700000001</v>
      </c>
      <c r="Z36" s="453">
        <f t="shared" si="19"/>
        <v>13921.179300000002</v>
      </c>
      <c r="AA36" s="454">
        <f>'DATOS REFERENCIALES'!$C$10</f>
        <v>1294</v>
      </c>
      <c r="AB36" s="454">
        <f>IF((IF(H36&gt;1119,('DATOS REFERENCIALES'!$C$9-(S36-T36-U36-V36-W36-X36+AA36)),(('DATOS REFERENCIALES'!$C$9/1120)*H36)-(K36+N36+O36+P36+Q36+R36-T36-U36-V36-W36-X36+AA36)))&lt;0,0,IF(H36&gt;1119,(('DATOS REFERENCIALES'!$C$9)-(S36-T36-U36-V36-W36-X36+AA36)),(('DATOS REFERENCIALES'!$C$9/1120)*H36)-(K36+N36+O36+P36+Q36+R36-T36-U36-V36-W36-X36+AA36)))</f>
        <v>0</v>
      </c>
      <c r="AC36" s="454">
        <f t="shared" si="20"/>
        <v>15215.179300000002</v>
      </c>
      <c r="AD36" s="573">
        <f>'DATOS REFERENCIALES'!$C$13</f>
        <v>1210</v>
      </c>
      <c r="AE36" s="438"/>
      <c r="AF36" s="453">
        <f>'DATOS REFERENCIALES'!$C$11</f>
        <v>320</v>
      </c>
      <c r="AG36" s="454">
        <f>'DATOS REFERENCIALES'!$C$12</f>
        <v>210</v>
      </c>
      <c r="AH36" s="579">
        <f>SUM(AC36:AG36)+SUM(AC37:AG37)</f>
        <v>17790.445804600004</v>
      </c>
      <c r="AI36" s="13"/>
      <c r="AJ36" s="13"/>
      <c r="AK36" s="13"/>
      <c r="AL36" s="18"/>
      <c r="AM36" s="19"/>
      <c r="AN36" s="19"/>
      <c r="AR36" s="8"/>
    </row>
    <row r="37" spans="1:44" s="1" customFormat="1" ht="26.25" customHeight="1" thickBot="1" x14ac:dyDescent="0.25">
      <c r="A37" s="365">
        <v>5014</v>
      </c>
      <c r="B37" s="538" t="s">
        <v>34</v>
      </c>
      <c r="C37" s="324">
        <f>IF(C36&gt;0,C36,0)</f>
        <v>0</v>
      </c>
      <c r="D37" s="365"/>
      <c r="E37" s="365"/>
      <c r="F37" s="365"/>
      <c r="G37" s="521"/>
      <c r="H37" s="522"/>
      <c r="I37" s="365">
        <v>181.13</v>
      </c>
      <c r="J37" s="458"/>
      <c r="K37" s="369"/>
      <c r="L37" s="369">
        <f>I37*'DATOS REFERENCIALES'!$C$4</f>
        <v>992.5924</v>
      </c>
      <c r="M37" s="369">
        <f>IF(J37='DATOS REFERENCIALES'!$C$28,K36*'DATOS REFERENCIALES'!$D$28,IF(J37='DATOS REFERENCIALES'!$C$29,('DATOS REFERENCIALES'!$D$29*K36),IF(J37='DATOS REFERENCIALES'!$C$30,('DATOS REFERENCIALES'!$D$30*K36),IF(J37='DATOS REFERENCIALES'!$C$31,('DATOS REFERENCIALES'!$D$31*K36),IF(J37='DATOS REFERENCIALES'!$C$32,('DATOS REFERENCIALES'!$D$32*K36),IF(J37='DATOS REFERENCIALES'!$C$33,('DATOS REFERENCIALES'!$D$33*K36),IF(J37='DATOS REFERENCIALES'!$C$34,('DATOS REFERENCIALES'!$D$34*K36),IF(J37='DATOS REFERENCIALES'!$C$35,('DATOS REFERENCIALES'!$D$35*K36),0))))))))</f>
        <v>0</v>
      </c>
      <c r="N37" s="336">
        <f>LOOKUP(C37,'TABLA ANTIG.'!$A$4:$A$39,'TABLA ANTIG.'!$B$4:$B$39)*(L37+M37)</f>
        <v>0</v>
      </c>
      <c r="O37" s="336">
        <f>(L37+M37)*0.1</f>
        <v>99.259240000000005</v>
      </c>
      <c r="P37" s="369"/>
      <c r="Q37" s="336"/>
      <c r="R37" s="336"/>
      <c r="S37" s="336">
        <f>L37+M37+N37+O37+P37+Q37+R37</f>
        <v>1091.8516400000001</v>
      </c>
      <c r="T37" s="370">
        <f t="shared" si="14"/>
        <v>120.10368040000002</v>
      </c>
      <c r="U37" s="336">
        <f t="shared" si="15"/>
        <v>32.755549200000004</v>
      </c>
      <c r="V37" s="370">
        <f t="shared" si="15"/>
        <v>32.755549200000004</v>
      </c>
      <c r="W37" s="336">
        <f>$S37*2%</f>
        <v>21.837032800000003</v>
      </c>
      <c r="X37" s="336">
        <f t="shared" si="17"/>
        <v>49.133323799999999</v>
      </c>
      <c r="Y37" s="336">
        <f t="shared" si="18"/>
        <v>256.58513540000001</v>
      </c>
      <c r="Z37" s="371">
        <f t="shared" si="19"/>
        <v>835.26650460000008</v>
      </c>
      <c r="AA37" s="336"/>
      <c r="AB37" s="336"/>
      <c r="AC37" s="333">
        <f t="shared" si="20"/>
        <v>835.26650460000008</v>
      </c>
      <c r="AD37" s="571"/>
      <c r="AE37" s="444"/>
      <c r="AF37" s="333"/>
      <c r="AG37" s="336"/>
      <c r="AH37" s="580"/>
      <c r="AI37" s="13"/>
      <c r="AJ37" s="13"/>
      <c r="AK37" s="13"/>
      <c r="AL37" s="18"/>
      <c r="AM37" s="19"/>
      <c r="AN37" s="19"/>
      <c r="AR37" s="8"/>
    </row>
    <row r="38" spans="1:44" s="1" customFormat="1" ht="25.5" customHeight="1" x14ac:dyDescent="0.2">
      <c r="A38" s="339">
        <v>5013</v>
      </c>
      <c r="B38" s="533" t="s">
        <v>53</v>
      </c>
      <c r="C38" s="339">
        <v>0</v>
      </c>
      <c r="D38" s="339"/>
      <c r="E38" s="339"/>
      <c r="F38" s="339"/>
      <c r="G38" s="524">
        <v>2421</v>
      </c>
      <c r="H38" s="492">
        <f t="shared" si="11"/>
        <v>2421</v>
      </c>
      <c r="I38" s="492"/>
      <c r="J38" s="492"/>
      <c r="K38" s="341">
        <f>H38*'DATOS REFERENCIALES'!$C$4</f>
        <v>13267.080000000002</v>
      </c>
      <c r="L38" s="341"/>
      <c r="M38" s="341"/>
      <c r="N38" s="343">
        <f>LOOKUP(C38,'TABLA ANTIG.'!$A$4:$A$39,'TABLA ANTIG.'!$B$4:$B$39)*(K38)</f>
        <v>0</v>
      </c>
      <c r="O38" s="343">
        <f t="shared" si="12"/>
        <v>1326.7080000000003</v>
      </c>
      <c r="P38" s="341">
        <f>'DATOS REFERENCIALES'!$C$8</f>
        <v>3640</v>
      </c>
      <c r="Q38" s="343">
        <f>LOOKUP(C38,'TABLA ANTIG.'!$A$4:$A$39,'TABLA ANTIG.'!$B$4:$B$39)*(P38)</f>
        <v>0</v>
      </c>
      <c r="R38" s="450">
        <v>0</v>
      </c>
      <c r="S38" s="450">
        <f t="shared" si="13"/>
        <v>18233.788</v>
      </c>
      <c r="T38" s="450">
        <f t="shared" si="14"/>
        <v>2005.71668</v>
      </c>
      <c r="U38" s="450">
        <f t="shared" si="15"/>
        <v>547.01364000000001</v>
      </c>
      <c r="V38" s="450">
        <f t="shared" si="15"/>
        <v>547.01364000000001</v>
      </c>
      <c r="W38" s="450">
        <f t="shared" si="16"/>
        <v>364.67576000000003</v>
      </c>
      <c r="X38" s="534">
        <f t="shared" si="17"/>
        <v>820.52045999999996</v>
      </c>
      <c r="Y38" s="450">
        <f t="shared" si="18"/>
        <v>4284.9401800000005</v>
      </c>
      <c r="Z38" s="449">
        <f t="shared" si="19"/>
        <v>13948.847819999999</v>
      </c>
      <c r="AA38" s="450">
        <f>'DATOS REFERENCIALES'!$C$10</f>
        <v>1294</v>
      </c>
      <c r="AB38" s="450">
        <f>IF((IF(H38&gt;1119,('DATOS REFERENCIALES'!$C$9-(S38-T38-U38-V38-W38-X38+AA38)),(('DATOS REFERENCIALES'!$C$9/1120)*H38)-(K38+N38+O38+P38+Q38+R38-T38-U38-V38-W38-X38+AA38)))&lt;0,0,IF(H38&gt;1119,(('DATOS REFERENCIALES'!$C$9)-(S38-T38-U38-V38-W38-X38+AA38)),(('DATOS REFERENCIALES'!$C$9/1120)*H38)-(K38+N38+O38+P38+Q38+R38-T38-U38-V38-W38-X38+AA38)))</f>
        <v>0</v>
      </c>
      <c r="AC38" s="450">
        <f t="shared" si="20"/>
        <v>15242.847819999999</v>
      </c>
      <c r="AD38" s="574">
        <f>'DATOS REFERENCIALES'!$C$13</f>
        <v>1210</v>
      </c>
      <c r="AE38" s="421"/>
      <c r="AF38" s="449">
        <f>'DATOS REFERENCIALES'!$C$11</f>
        <v>320</v>
      </c>
      <c r="AG38" s="450">
        <f>'DATOS REFERENCIALES'!$C$12</f>
        <v>210</v>
      </c>
      <c r="AH38" s="581">
        <f>SUM(AC38:AG38)+SUM(AC39:AG39)</f>
        <v>17820.1894636</v>
      </c>
      <c r="AI38" s="13"/>
      <c r="AJ38" s="13"/>
      <c r="AK38" s="13"/>
      <c r="AL38" s="18"/>
      <c r="AM38" s="19"/>
      <c r="AN38" s="19"/>
      <c r="AR38" s="8"/>
    </row>
    <row r="39" spans="1:44" s="1" customFormat="1" ht="30.75" customHeight="1" thickBot="1" x14ac:dyDescent="0.25">
      <c r="A39" s="351">
        <v>5013</v>
      </c>
      <c r="B39" s="535" t="s">
        <v>53</v>
      </c>
      <c r="C39" s="351">
        <f>IF(C38&gt;0,C38,0)</f>
        <v>0</v>
      </c>
      <c r="D39" s="351"/>
      <c r="E39" s="351"/>
      <c r="F39" s="351"/>
      <c r="G39" s="525"/>
      <c r="H39" s="526"/>
      <c r="I39" s="351">
        <v>181.58</v>
      </c>
      <c r="J39" s="452"/>
      <c r="K39" s="353"/>
      <c r="L39" s="353">
        <f>I39*'DATOS REFERENCIALES'!$C$4</f>
        <v>995.05840000000012</v>
      </c>
      <c r="M39" s="353">
        <f>IF(J39='DATOS REFERENCIALES'!$C$28,K38*'DATOS REFERENCIALES'!$D$28,IF(J39='DATOS REFERENCIALES'!$C$29,('DATOS REFERENCIALES'!$D$29*K38),IF(J39='DATOS REFERENCIALES'!$C$30,('DATOS REFERENCIALES'!$D$30*K38),IF(J39='DATOS REFERENCIALES'!$C$31,('DATOS REFERENCIALES'!$D$31*K38),IF(J39='DATOS REFERENCIALES'!$C$32,('DATOS REFERENCIALES'!$D$32*K38),IF(J39='DATOS REFERENCIALES'!$C$33,('DATOS REFERENCIALES'!$D$33*K38),IF(J39='DATOS REFERENCIALES'!$C$34,('DATOS REFERENCIALES'!$D$34*K38),IF(J39='DATOS REFERENCIALES'!$C$35,('DATOS REFERENCIALES'!$D$35*K38),0))))))))</f>
        <v>0</v>
      </c>
      <c r="N39" s="357">
        <f>LOOKUP(C39,'TABLA ANTIG.'!$A$4:$A$39,'TABLA ANTIG.'!$B$4:$B$39)*(L39+M39)</f>
        <v>0</v>
      </c>
      <c r="O39" s="357">
        <f>(L39+M39)*0.1</f>
        <v>99.50584000000002</v>
      </c>
      <c r="P39" s="353"/>
      <c r="Q39" s="357"/>
      <c r="R39" s="357"/>
      <c r="S39" s="357">
        <f>L39+M39+N39+O39+P39+Q39+R39</f>
        <v>1094.5642400000002</v>
      </c>
      <c r="T39" s="358">
        <f t="shared" si="14"/>
        <v>120.40206640000002</v>
      </c>
      <c r="U39" s="357">
        <f t="shared" si="15"/>
        <v>32.836927200000005</v>
      </c>
      <c r="V39" s="358">
        <f t="shared" si="15"/>
        <v>32.836927200000005</v>
      </c>
      <c r="W39" s="357">
        <f>$S39*2%</f>
        <v>21.891284800000005</v>
      </c>
      <c r="X39" s="357">
        <f t="shared" si="17"/>
        <v>49.255390800000008</v>
      </c>
      <c r="Y39" s="357">
        <f t="shared" si="18"/>
        <v>257.22259639999999</v>
      </c>
      <c r="Z39" s="360">
        <f t="shared" si="19"/>
        <v>837.34164360000022</v>
      </c>
      <c r="AA39" s="357"/>
      <c r="AB39" s="357"/>
      <c r="AC39" s="359">
        <f t="shared" si="20"/>
        <v>837.34164360000022</v>
      </c>
      <c r="AD39" s="361"/>
      <c r="AE39" s="428"/>
      <c r="AF39" s="359"/>
      <c r="AG39" s="357"/>
      <c r="AH39" s="582"/>
      <c r="AI39" s="13"/>
      <c r="AJ39" s="13"/>
      <c r="AK39" s="13"/>
      <c r="AL39" s="18"/>
      <c r="AM39" s="19"/>
      <c r="AN39" s="19"/>
      <c r="AR39" s="8"/>
    </row>
    <row r="40" spans="1:44" s="1" customFormat="1" ht="27.75" customHeight="1" x14ac:dyDescent="0.2">
      <c r="A40" s="279">
        <v>5033</v>
      </c>
      <c r="B40" s="141" t="s">
        <v>35</v>
      </c>
      <c r="C40" s="139">
        <v>0</v>
      </c>
      <c r="D40" s="139"/>
      <c r="E40" s="139"/>
      <c r="F40" s="139"/>
      <c r="G40" s="275">
        <v>1222</v>
      </c>
      <c r="H40" s="276">
        <f t="shared" si="11"/>
        <v>1222</v>
      </c>
      <c r="I40" s="276"/>
      <c r="J40" s="276"/>
      <c r="K40" s="120">
        <f>H40*'DATOS REFERENCIALES'!$C$4</f>
        <v>6696.56</v>
      </c>
      <c r="L40" s="120"/>
      <c r="M40" s="120"/>
      <c r="N40" s="122">
        <f>LOOKUP(C40,'TABLA ANTIG.'!$A$4:$A$39,'TABLA ANTIG.'!$B$4:$B$39)*(K40)</f>
        <v>0</v>
      </c>
      <c r="O40" s="133">
        <f t="shared" si="12"/>
        <v>669.65600000000006</v>
      </c>
      <c r="P40" s="120">
        <f>'DATOS REFERENCIALES'!$C$8</f>
        <v>3640</v>
      </c>
      <c r="Q40" s="122">
        <f>LOOKUP(C40,'TABLA ANTIG.'!$A$4:$A$39,'TABLA ANTIG.'!$B$4:$B$39)*(P40)</f>
        <v>0</v>
      </c>
      <c r="R40" s="31">
        <v>0</v>
      </c>
      <c r="S40" s="31">
        <f t="shared" si="13"/>
        <v>11006.216</v>
      </c>
      <c r="T40" s="31">
        <f t="shared" si="14"/>
        <v>1210.6837600000001</v>
      </c>
      <c r="U40" s="31">
        <f t="shared" si="15"/>
        <v>330.18648000000002</v>
      </c>
      <c r="V40" s="31">
        <f t="shared" si="15"/>
        <v>330.18648000000002</v>
      </c>
      <c r="W40" s="31">
        <f t="shared" si="16"/>
        <v>220.12432000000001</v>
      </c>
      <c r="X40" s="177">
        <f t="shared" si="17"/>
        <v>495.27972</v>
      </c>
      <c r="Y40" s="31">
        <f t="shared" si="18"/>
        <v>2586.4607600000004</v>
      </c>
      <c r="Z40" s="150">
        <f t="shared" si="19"/>
        <v>8419.7552400000004</v>
      </c>
      <c r="AA40" s="94">
        <f>'DATOS REFERENCIALES'!$C$10</f>
        <v>1294</v>
      </c>
      <c r="AB40" s="94">
        <f>IF((IF(H40&gt;1119,('DATOS REFERENCIALES'!$C$9-(S40-T40-U40-V40-W40-X40+AA40)),(('DATOS REFERENCIALES'!$C$9/1120)*H40)-(K40+N40+O40+P40+Q40+R40-T40-U40-V40-W40-X40+AA40)))&lt;0,0,IF(H40&gt;1119,(('DATOS REFERENCIALES'!$C$9)-(S40-T40-U40-V40-W40-X40+AA40)),(('DATOS REFERENCIALES'!$C$9/1120)*H40)-(K40+N40+O40+P40+Q40+R40-T40-U40-V40-W40-X40+AA40)))</f>
        <v>4897.2447600000014</v>
      </c>
      <c r="AC40" s="94">
        <f t="shared" si="20"/>
        <v>14611.000000000002</v>
      </c>
      <c r="AD40" s="106">
        <f>'DATOS REFERENCIALES'!$C$13</f>
        <v>1210</v>
      </c>
      <c r="AE40" s="305"/>
      <c r="AF40" s="150">
        <f>'DATOS REFERENCIALES'!$C$11</f>
        <v>320</v>
      </c>
      <c r="AG40" s="94">
        <f>'DATOS REFERENCIALES'!$C$12</f>
        <v>210</v>
      </c>
      <c r="AH40" s="94">
        <f t="shared" ref="AH40:AH50" si="21">SUM(AC40:AG40)</f>
        <v>16351.000000000002</v>
      </c>
      <c r="AI40" s="13"/>
      <c r="AJ40" s="13"/>
      <c r="AK40" s="13"/>
      <c r="AL40" s="18"/>
      <c r="AM40" s="19"/>
      <c r="AN40" s="19"/>
      <c r="AR40" s="8"/>
    </row>
    <row r="41" spans="1:44" s="1" customFormat="1" ht="25.5" customHeight="1" x14ac:dyDescent="0.2">
      <c r="A41" s="280">
        <v>5029</v>
      </c>
      <c r="B41" s="140" t="s">
        <v>36</v>
      </c>
      <c r="C41" s="47">
        <v>0</v>
      </c>
      <c r="D41" s="47"/>
      <c r="E41" s="47"/>
      <c r="F41" s="47"/>
      <c r="G41" s="75">
        <v>1120</v>
      </c>
      <c r="H41" s="61">
        <f t="shared" si="11"/>
        <v>1120</v>
      </c>
      <c r="I41" s="61"/>
      <c r="J41" s="61"/>
      <c r="K41" s="104">
        <f>H41*'DATOS REFERENCIALES'!$C$4</f>
        <v>6137.6</v>
      </c>
      <c r="L41" s="104"/>
      <c r="M41" s="104"/>
      <c r="N41" s="94">
        <f>LOOKUP(C41,'TABLA ANTIG.'!$A$4:$A$39,'TABLA ANTIG.'!$B$4:$B$39)*(K41)</f>
        <v>0</v>
      </c>
      <c r="O41" s="31">
        <f t="shared" si="12"/>
        <v>613.7600000000001</v>
      </c>
      <c r="P41" s="104">
        <f>'DATOS REFERENCIALES'!$C$8</f>
        <v>3640</v>
      </c>
      <c r="Q41" s="94">
        <f>LOOKUP(C41,'TABLA ANTIG.'!$A$4:$A$39,'TABLA ANTIG.'!$B$4:$B$39)*(P41)</f>
        <v>0</v>
      </c>
      <c r="R41" s="31">
        <v>0</v>
      </c>
      <c r="S41" s="31">
        <f t="shared" si="13"/>
        <v>10391.36</v>
      </c>
      <c r="T41" s="31">
        <f t="shared" si="14"/>
        <v>1143.0496000000001</v>
      </c>
      <c r="U41" s="31">
        <f t="shared" si="15"/>
        <v>311.74079999999998</v>
      </c>
      <c r="V41" s="31">
        <f t="shared" si="15"/>
        <v>311.74079999999998</v>
      </c>
      <c r="W41" s="31">
        <f t="shared" si="16"/>
        <v>207.8272</v>
      </c>
      <c r="X41" s="177">
        <f t="shared" si="17"/>
        <v>467.6112</v>
      </c>
      <c r="Y41" s="31">
        <f t="shared" si="18"/>
        <v>2441.9695999999999</v>
      </c>
      <c r="Z41" s="150">
        <f t="shared" si="19"/>
        <v>7949.3904000000002</v>
      </c>
      <c r="AA41" s="94">
        <f>'DATOS REFERENCIALES'!$C$10</f>
        <v>1294</v>
      </c>
      <c r="AB41" s="94">
        <f>IF((IF(H41&gt;1119,('DATOS REFERENCIALES'!$C$9-(S41-T41-U41-V41-W41-X41+AA41)),(('DATOS REFERENCIALES'!$C$9/1120)*H41)-(K41+N41+O41+P41+Q41+R41-T41-U41-V41-W41-X41+AA41)))&lt;0,0,IF(H41&gt;1119,(('DATOS REFERENCIALES'!$C$9)-(S41-T41-U41-V41-W41-X41+AA41)),(('DATOS REFERENCIALES'!$C$9/1120)*H41)-(K41+N41+O41+P41+Q41+R41-T41-U41-V41-W41-X41+AA41)))</f>
        <v>5367.6095999999998</v>
      </c>
      <c r="AC41" s="94">
        <f t="shared" si="20"/>
        <v>14611</v>
      </c>
      <c r="AD41" s="106">
        <f>'DATOS REFERENCIALES'!$C$13</f>
        <v>1210</v>
      </c>
      <c r="AE41" s="308"/>
      <c r="AF41" s="150">
        <f>'DATOS REFERENCIALES'!$C$11</f>
        <v>320</v>
      </c>
      <c r="AG41" s="94">
        <f>'DATOS REFERENCIALES'!$C$12</f>
        <v>210</v>
      </c>
      <c r="AH41" s="94">
        <f t="shared" si="21"/>
        <v>16351</v>
      </c>
      <c r="AI41" s="13"/>
      <c r="AJ41" s="13"/>
      <c r="AK41" s="13"/>
      <c r="AL41" s="18"/>
      <c r="AM41" s="19"/>
      <c r="AN41" s="19"/>
      <c r="AR41" s="8"/>
    </row>
    <row r="42" spans="1:44" s="1" customFormat="1" ht="27.75" customHeight="1" x14ac:dyDescent="0.2">
      <c r="A42" s="47">
        <v>5028</v>
      </c>
      <c r="B42" s="205" t="s">
        <v>37</v>
      </c>
      <c r="C42" s="47">
        <v>0</v>
      </c>
      <c r="D42" s="49"/>
      <c r="E42" s="49"/>
      <c r="F42" s="49"/>
      <c r="G42" s="76">
        <v>1222</v>
      </c>
      <c r="H42" s="60">
        <f t="shared" si="11"/>
        <v>1222</v>
      </c>
      <c r="I42" s="60"/>
      <c r="J42" s="60"/>
      <c r="K42" s="104">
        <f>H42*'DATOS REFERENCIALES'!$C$4</f>
        <v>6696.56</v>
      </c>
      <c r="L42" s="104"/>
      <c r="M42" s="104"/>
      <c r="N42" s="94">
        <f>LOOKUP(C42,'TABLA ANTIG.'!$A$4:$A$39,'TABLA ANTIG.'!$B$4:$B$39)*(K42)</f>
        <v>0</v>
      </c>
      <c r="O42" s="31">
        <f t="shared" si="12"/>
        <v>669.65600000000006</v>
      </c>
      <c r="P42" s="104">
        <f>'DATOS REFERENCIALES'!$C$8</f>
        <v>3640</v>
      </c>
      <c r="Q42" s="94">
        <f>LOOKUP(C42,'TABLA ANTIG.'!$A$4:$A$39,'TABLA ANTIG.'!$B$4:$B$39)*(P42)</f>
        <v>0</v>
      </c>
      <c r="R42" s="31">
        <v>0</v>
      </c>
      <c r="S42" s="31">
        <f t="shared" si="13"/>
        <v>11006.216</v>
      </c>
      <c r="T42" s="31">
        <f t="shared" si="14"/>
        <v>1210.6837600000001</v>
      </c>
      <c r="U42" s="31">
        <f t="shared" si="15"/>
        <v>330.18648000000002</v>
      </c>
      <c r="V42" s="31">
        <f t="shared" si="15"/>
        <v>330.18648000000002</v>
      </c>
      <c r="W42" s="31">
        <f t="shared" si="16"/>
        <v>220.12432000000001</v>
      </c>
      <c r="X42" s="177">
        <f t="shared" si="17"/>
        <v>495.27972</v>
      </c>
      <c r="Y42" s="31">
        <f t="shared" si="18"/>
        <v>2586.4607600000004</v>
      </c>
      <c r="Z42" s="150">
        <f t="shared" si="19"/>
        <v>8419.7552400000004</v>
      </c>
      <c r="AA42" s="94">
        <f>'DATOS REFERENCIALES'!$C$10</f>
        <v>1294</v>
      </c>
      <c r="AB42" s="94">
        <f>IF((IF(H42&gt;1119,('DATOS REFERENCIALES'!$C$9-(S42-T42-U42-V42-W42-X42+AA42)),(('DATOS REFERENCIALES'!$C$9/1120)*H42)-(K42+N42+O42+P42+Q42+R42-T42-U42-V42-W42-X42+AA42)))&lt;0,0,IF(H42&gt;1119,(('DATOS REFERENCIALES'!$C$9)-(S42-T42-U42-V42-W42-X42+AA42)),(('DATOS REFERENCIALES'!$C$9/1120)*H42)-(K42+N42+O42+P42+Q42+R42-T42-U42-V42-W42-X42+AA42)))</f>
        <v>4897.2447600000014</v>
      </c>
      <c r="AC42" s="94">
        <f t="shared" si="20"/>
        <v>14611.000000000002</v>
      </c>
      <c r="AD42" s="106">
        <f>'DATOS REFERENCIALES'!$C$13</f>
        <v>1210</v>
      </c>
      <c r="AE42" s="308"/>
      <c r="AF42" s="150">
        <f>'DATOS REFERENCIALES'!$C$11</f>
        <v>320</v>
      </c>
      <c r="AG42" s="94">
        <f>'DATOS REFERENCIALES'!$C$12</f>
        <v>210</v>
      </c>
      <c r="AH42" s="94">
        <f t="shared" si="21"/>
        <v>16351.000000000002</v>
      </c>
      <c r="AI42" s="13"/>
      <c r="AJ42" s="13"/>
      <c r="AK42" s="13"/>
      <c r="AL42" s="18"/>
      <c r="AM42" s="19"/>
      <c r="AN42" s="19"/>
      <c r="AR42" s="8"/>
    </row>
    <row r="43" spans="1:44" s="1" customFormat="1" ht="21.75" customHeight="1" x14ac:dyDescent="0.2">
      <c r="A43" s="47">
        <v>5035</v>
      </c>
      <c r="B43" s="205" t="s">
        <v>38</v>
      </c>
      <c r="C43" s="47">
        <v>0</v>
      </c>
      <c r="D43" s="49"/>
      <c r="E43" s="49"/>
      <c r="F43" s="49"/>
      <c r="G43" s="76">
        <v>1032</v>
      </c>
      <c r="H43" s="60">
        <f t="shared" si="11"/>
        <v>1032</v>
      </c>
      <c r="I43" s="60"/>
      <c r="J43" s="60"/>
      <c r="K43" s="104">
        <f>H43*'DATOS REFERENCIALES'!$C$4</f>
        <v>5655.3600000000006</v>
      </c>
      <c r="L43" s="104"/>
      <c r="M43" s="104"/>
      <c r="N43" s="94">
        <f>LOOKUP(C43,'TABLA ANTIG.'!$A$4:$A$39,'TABLA ANTIG.'!$B$4:$B$39)*(K43)</f>
        <v>0</v>
      </c>
      <c r="O43" s="31">
        <f t="shared" si="12"/>
        <v>565.53600000000006</v>
      </c>
      <c r="P43" s="104">
        <f>'DATOS REFERENCIALES'!$C$8</f>
        <v>3640</v>
      </c>
      <c r="Q43" s="94">
        <f>LOOKUP(C43,'TABLA ANTIG.'!$A$4:$A$39,'TABLA ANTIG.'!$B$4:$B$39)*(P43)</f>
        <v>0</v>
      </c>
      <c r="R43" s="94">
        <v>0</v>
      </c>
      <c r="S43" s="31">
        <f t="shared" si="13"/>
        <v>9860.8960000000006</v>
      </c>
      <c r="T43" s="94">
        <f t="shared" si="14"/>
        <v>1084.69856</v>
      </c>
      <c r="U43" s="94">
        <f t="shared" si="15"/>
        <v>295.82688000000002</v>
      </c>
      <c r="V43" s="94">
        <f t="shared" si="15"/>
        <v>295.82688000000002</v>
      </c>
      <c r="W43" s="94">
        <f t="shared" si="16"/>
        <v>197.21792000000002</v>
      </c>
      <c r="X43" s="172">
        <f t="shared" si="17"/>
        <v>443.74032</v>
      </c>
      <c r="Y43" s="31">
        <f t="shared" si="18"/>
        <v>2317.3105600000004</v>
      </c>
      <c r="Z43" s="150">
        <f t="shared" si="19"/>
        <v>7543.5854400000007</v>
      </c>
      <c r="AA43" s="94">
        <f>'DATOS REFERENCIALES'!$C$10</f>
        <v>1294</v>
      </c>
      <c r="AB43" s="94">
        <f>IF((IF(H43&gt;1119,('DATOS REFERENCIALES'!$C$9-(S43-T43-U43-V43-W43-X43+AA43)),(('DATOS REFERENCIALES'!$C$9/1120)*H43)-(K43+N43+O43+P43+Q43+R43-T43-U43-V43-W43-X43+AA43)))&lt;0,0,IF(H43&gt;1119,(('DATOS REFERENCIALES'!$C$9)-(S43-T43-U43-V43-W43-X43+AA43)),(('DATOS REFERENCIALES'!$C$9/1120)*H43)-(K43+N43+O43+P43+Q43+R43-T43-U43-V43-W43-X43+AA43)))</f>
        <v>4625.4074171428583</v>
      </c>
      <c r="AC43" s="94">
        <f t="shared" si="20"/>
        <v>13462.992857142859</v>
      </c>
      <c r="AD43" s="106">
        <f>'DATOS REFERENCIALES'!$C$13</f>
        <v>1210</v>
      </c>
      <c r="AE43" s="308"/>
      <c r="AF43" s="150">
        <f>'DATOS REFERENCIALES'!$C$11</f>
        <v>320</v>
      </c>
      <c r="AG43" s="94">
        <f>'DATOS REFERENCIALES'!$C$12</f>
        <v>210</v>
      </c>
      <c r="AH43" s="94">
        <f t="shared" si="21"/>
        <v>15202.992857142859</v>
      </c>
      <c r="AI43" s="13"/>
      <c r="AJ43" s="13"/>
      <c r="AK43" s="13"/>
      <c r="AL43" s="18"/>
      <c r="AM43" s="19"/>
      <c r="AN43" s="19"/>
      <c r="AR43" s="8"/>
    </row>
    <row r="44" spans="1:44" s="1" customFormat="1" ht="21.75" customHeight="1" x14ac:dyDescent="0.2">
      <c r="A44" s="47">
        <v>5051</v>
      </c>
      <c r="B44" s="205" t="s">
        <v>39</v>
      </c>
      <c r="C44" s="47">
        <v>0</v>
      </c>
      <c r="D44" s="47"/>
      <c r="E44" s="47"/>
      <c r="F44" s="47"/>
      <c r="G44" s="75">
        <v>929</v>
      </c>
      <c r="H44" s="61">
        <f t="shared" si="11"/>
        <v>929</v>
      </c>
      <c r="I44" s="61"/>
      <c r="J44" s="61"/>
      <c r="K44" s="104">
        <f>H44*'DATOS REFERENCIALES'!$C$4</f>
        <v>5090.92</v>
      </c>
      <c r="L44" s="104"/>
      <c r="M44" s="104"/>
      <c r="N44" s="94">
        <f>LOOKUP(C44,'TABLA ANTIG.'!$A$4:$A$39,'TABLA ANTIG.'!$B$4:$B$39)*(K44)</f>
        <v>0</v>
      </c>
      <c r="O44" s="31">
        <f t="shared" si="12"/>
        <v>509.09200000000004</v>
      </c>
      <c r="P44" s="104">
        <f>'DATOS REFERENCIALES'!$C$8</f>
        <v>3640</v>
      </c>
      <c r="Q44" s="94">
        <f>LOOKUP(C44,'TABLA ANTIG.'!$A$4:$A$39,'TABLA ANTIG.'!$B$4:$B$39)*(P44)</f>
        <v>0</v>
      </c>
      <c r="R44" s="31">
        <v>0</v>
      </c>
      <c r="S44" s="31">
        <f t="shared" si="13"/>
        <v>9240.0119999999988</v>
      </c>
      <c r="T44" s="31">
        <f t="shared" si="14"/>
        <v>1016.4013199999998</v>
      </c>
      <c r="U44" s="31">
        <f t="shared" si="15"/>
        <v>277.20035999999993</v>
      </c>
      <c r="V44" s="31">
        <f t="shared" si="15"/>
        <v>277.20035999999993</v>
      </c>
      <c r="W44" s="31">
        <f t="shared" si="16"/>
        <v>184.80023999999997</v>
      </c>
      <c r="X44" s="177">
        <f t="shared" si="17"/>
        <v>415.80053999999996</v>
      </c>
      <c r="Y44" s="31">
        <f t="shared" si="18"/>
        <v>2171.4028199999993</v>
      </c>
      <c r="Z44" s="150">
        <f t="shared" si="19"/>
        <v>7068.6091799999995</v>
      </c>
      <c r="AA44" s="94">
        <f>'DATOS REFERENCIALES'!$C$10</f>
        <v>1294</v>
      </c>
      <c r="AB44" s="94">
        <f>IF((IF(H44&gt;1119,('DATOS REFERENCIALES'!$C$9-(S44-T44-U44-V44-W44-X44+AA44)),(('DATOS REFERENCIALES'!$C$9/1120)*H44)-(K44+N44+O44+P44+Q44+R44-T44-U44-V44-W44-X44+AA44)))&lt;0,0,IF(H44&gt;1119,(('DATOS REFERENCIALES'!$C$9)-(S44-T44-U44-V44-W44-X44+AA44)),(('DATOS REFERENCIALES'!$C$9/1120)*H44)-(K44+N44+O44+P44+Q44+R44-T44-U44-V44-W44-X44+AA44)))</f>
        <v>3756.6934985714288</v>
      </c>
      <c r="AC44" s="94">
        <f t="shared" si="20"/>
        <v>12119.302678571428</v>
      </c>
      <c r="AD44" s="106">
        <f>'DATOS REFERENCIALES'!$C$13</f>
        <v>1210</v>
      </c>
      <c r="AE44" s="308"/>
      <c r="AF44" s="150">
        <f>'DATOS REFERENCIALES'!$C$11</f>
        <v>320</v>
      </c>
      <c r="AG44" s="94">
        <f>'DATOS REFERENCIALES'!$C$12</f>
        <v>210</v>
      </c>
      <c r="AH44" s="94">
        <f t="shared" si="21"/>
        <v>13859.302678571428</v>
      </c>
      <c r="AI44" s="13"/>
      <c r="AJ44" s="13"/>
      <c r="AK44" s="13"/>
      <c r="AL44" s="18"/>
      <c r="AM44" s="19"/>
      <c r="AN44" s="19"/>
      <c r="AR44" s="8"/>
    </row>
    <row r="45" spans="1:44" s="1" customFormat="1" ht="21.75" customHeight="1" x14ac:dyDescent="0.2">
      <c r="A45" s="89">
        <v>1557</v>
      </c>
      <c r="B45" s="129" t="s">
        <v>80</v>
      </c>
      <c r="C45" s="47">
        <v>0</v>
      </c>
      <c r="D45" s="47"/>
      <c r="E45" s="47"/>
      <c r="F45" s="47"/>
      <c r="G45" s="75">
        <v>823</v>
      </c>
      <c r="H45" s="61">
        <f t="shared" si="11"/>
        <v>823</v>
      </c>
      <c r="I45" s="61"/>
      <c r="J45" s="61"/>
      <c r="K45" s="104">
        <f>H45*'DATOS REFERENCIALES'!$C$4</f>
        <v>4510.04</v>
      </c>
      <c r="L45" s="104"/>
      <c r="M45" s="104"/>
      <c r="N45" s="94">
        <f>LOOKUP(C45,'TABLA ANTIG.'!$A$4:$A$39,'TABLA ANTIG.'!$B$4:$B$39)*(K45)</f>
        <v>0</v>
      </c>
      <c r="O45" s="31">
        <f t="shared" si="12"/>
        <v>451.00400000000002</v>
      </c>
      <c r="P45" s="104">
        <f>'DATOS REFERENCIALES'!$C$8</f>
        <v>3640</v>
      </c>
      <c r="Q45" s="94">
        <f>LOOKUP(C45,'TABLA ANTIG.'!$A$4:$A$39,'TABLA ANTIG.'!$B$4:$B$39)*(P45)</f>
        <v>0</v>
      </c>
      <c r="R45" s="31">
        <v>0</v>
      </c>
      <c r="S45" s="31">
        <f t="shared" si="13"/>
        <v>8601.0439999999999</v>
      </c>
      <c r="T45" s="31">
        <f t="shared" si="14"/>
        <v>946.11483999999996</v>
      </c>
      <c r="U45" s="31">
        <f t="shared" si="15"/>
        <v>258.03131999999999</v>
      </c>
      <c r="V45" s="31">
        <f t="shared" si="15"/>
        <v>258.03131999999999</v>
      </c>
      <c r="W45" s="31">
        <f t="shared" si="16"/>
        <v>172.02088000000001</v>
      </c>
      <c r="X45" s="177">
        <f t="shared" si="17"/>
        <v>387.04697999999996</v>
      </c>
      <c r="Y45" s="31">
        <f t="shared" si="18"/>
        <v>2021.2453399999999</v>
      </c>
      <c r="Z45" s="150">
        <f t="shared" si="19"/>
        <v>6579.7986600000004</v>
      </c>
      <c r="AA45" s="94">
        <f>'DATOS REFERENCIALES'!$C$10</f>
        <v>1294</v>
      </c>
      <c r="AB45" s="94">
        <f>IF((IF(H45&gt;1119,('DATOS REFERENCIALES'!$C$9-(S45-T45-U45-V45-W45-X45+AA45)),(('DATOS REFERENCIALES'!$C$9/1120)*H45)-(K45+N45+O45+P45+Q45+R45-T45-U45-V45-W45-X45+AA45)))&lt;0,0,IF(H45&gt;1119,(('DATOS REFERENCIALES'!$C$9)-(S45-T45-U45-V45-W45-X45+AA45)),(('DATOS REFERENCIALES'!$C$9/1120)*H45)-(K45+N45+O45+P45+Q45+R45-T45-U45-V45-W45-X45+AA45)))</f>
        <v>2862.6772328571433</v>
      </c>
      <c r="AC45" s="94">
        <f t="shared" si="20"/>
        <v>10736.475892857143</v>
      </c>
      <c r="AD45" s="106">
        <f>'DATOS REFERENCIALES'!$C$13</f>
        <v>1210</v>
      </c>
      <c r="AE45" s="308"/>
      <c r="AF45" s="150">
        <f>'DATOS REFERENCIALES'!$C$11</f>
        <v>320</v>
      </c>
      <c r="AG45" s="94">
        <f>'DATOS REFERENCIALES'!$C$12</f>
        <v>210</v>
      </c>
      <c r="AH45" s="94">
        <f t="shared" si="21"/>
        <v>12476.475892857143</v>
      </c>
      <c r="AI45" s="13"/>
      <c r="AJ45" s="13"/>
      <c r="AK45" s="13"/>
      <c r="AL45" s="18"/>
      <c r="AM45" s="19"/>
      <c r="AN45" s="19"/>
      <c r="AR45" s="8"/>
    </row>
    <row r="46" spans="1:44" s="1" customFormat="1" ht="21.75" customHeight="1" x14ac:dyDescent="0.2">
      <c r="A46" s="89">
        <v>1568</v>
      </c>
      <c r="B46" s="129" t="s">
        <v>81</v>
      </c>
      <c r="C46" s="47">
        <v>0</v>
      </c>
      <c r="D46" s="47"/>
      <c r="E46" s="47"/>
      <c r="F46" s="47"/>
      <c r="G46" s="75">
        <v>1008</v>
      </c>
      <c r="H46" s="61">
        <f t="shared" si="11"/>
        <v>1008</v>
      </c>
      <c r="I46" s="61"/>
      <c r="J46" s="61"/>
      <c r="K46" s="104">
        <f>H46*'DATOS REFERENCIALES'!$C$4</f>
        <v>5523.84</v>
      </c>
      <c r="L46" s="104"/>
      <c r="M46" s="104"/>
      <c r="N46" s="94">
        <f>LOOKUP(C46,'TABLA ANTIG.'!$A$4:$A$39,'TABLA ANTIG.'!$B$4:$B$39)*(K46)</f>
        <v>0</v>
      </c>
      <c r="O46" s="31">
        <f t="shared" si="12"/>
        <v>552.38400000000001</v>
      </c>
      <c r="P46" s="104">
        <f>'DATOS REFERENCIALES'!$C$8</f>
        <v>3640</v>
      </c>
      <c r="Q46" s="94">
        <f>LOOKUP(C46,'TABLA ANTIG.'!$A$4:$A$39,'TABLA ANTIG.'!$B$4:$B$39)*(P46)</f>
        <v>0</v>
      </c>
      <c r="R46" s="94">
        <v>0</v>
      </c>
      <c r="S46" s="31">
        <f t="shared" si="13"/>
        <v>9716.2240000000002</v>
      </c>
      <c r="T46" s="94">
        <f t="shared" si="14"/>
        <v>1068.7846400000001</v>
      </c>
      <c r="U46" s="94">
        <f t="shared" si="15"/>
        <v>291.48671999999999</v>
      </c>
      <c r="V46" s="94">
        <f t="shared" si="15"/>
        <v>291.48671999999999</v>
      </c>
      <c r="W46" s="94">
        <f t="shared" si="16"/>
        <v>194.32447999999999</v>
      </c>
      <c r="X46" s="172">
        <f t="shared" si="17"/>
        <v>437.23007999999999</v>
      </c>
      <c r="Y46" s="31">
        <f t="shared" si="18"/>
        <v>2283.3126400000001</v>
      </c>
      <c r="Z46" s="150">
        <f t="shared" si="19"/>
        <v>7432.9113600000001</v>
      </c>
      <c r="AA46" s="94">
        <f>'DATOS REFERENCIALES'!$C$10</f>
        <v>1294</v>
      </c>
      <c r="AB46" s="94">
        <f>IF((IF(H46&gt;1119,('DATOS REFERENCIALES'!$C$9-(S46-T46-U46-V46-W46-X46+AA46)),(('DATOS REFERENCIALES'!$C$9/1120)*H46)-(K46+N46+O46+P46+Q46+R46-T46-U46-V46-W46-X46+AA46)))&lt;0,0,IF(H46&gt;1119,(('DATOS REFERENCIALES'!$C$9)-(S46-T46-U46-V46-W46-X46+AA46)),(('DATOS REFERENCIALES'!$C$9/1120)*H46)-(K46+N46+O46+P46+Q46+R46-T46-U46-V46-W46-X46+AA46)))</f>
        <v>4422.9886400000014</v>
      </c>
      <c r="AC46" s="94">
        <f t="shared" si="20"/>
        <v>13149.900000000001</v>
      </c>
      <c r="AD46" s="106">
        <f>'DATOS REFERENCIALES'!$C$13</f>
        <v>1210</v>
      </c>
      <c r="AE46" s="308"/>
      <c r="AF46" s="150">
        <f>'DATOS REFERENCIALES'!$C$11</f>
        <v>320</v>
      </c>
      <c r="AG46" s="94">
        <f>'DATOS REFERENCIALES'!$C$12</f>
        <v>210</v>
      </c>
      <c r="AH46" s="94">
        <f t="shared" si="21"/>
        <v>14889.900000000001</v>
      </c>
      <c r="AI46" s="13"/>
      <c r="AJ46" s="13"/>
      <c r="AK46" s="13"/>
      <c r="AL46" s="18"/>
      <c r="AM46" s="19"/>
      <c r="AN46" s="19"/>
      <c r="AR46" s="8"/>
    </row>
    <row r="47" spans="1:44" s="1" customFormat="1" ht="21.75" customHeight="1" x14ac:dyDescent="0.2">
      <c r="A47" s="89">
        <v>1599</v>
      </c>
      <c r="B47" s="115" t="s">
        <v>102</v>
      </c>
      <c r="C47" s="47">
        <v>0</v>
      </c>
      <c r="D47" s="49">
        <v>1</v>
      </c>
      <c r="E47" s="47"/>
      <c r="F47" s="47"/>
      <c r="G47" s="64">
        <v>56</v>
      </c>
      <c r="H47" s="47">
        <f t="shared" si="11"/>
        <v>56</v>
      </c>
      <c r="I47" s="47"/>
      <c r="J47" s="47"/>
      <c r="K47" s="104">
        <f>(H47*'DATOS REFERENCIALES'!$C$4)*D47</f>
        <v>306.88</v>
      </c>
      <c r="L47" s="104"/>
      <c r="M47" s="104"/>
      <c r="N47" s="94">
        <f>LOOKUP(C47,'TABLA ANTIG.'!$A$4:$A$39,'TABLA ANTIG.'!$B$4:$B$39)*(K47)</f>
        <v>0</v>
      </c>
      <c r="O47" s="31">
        <f t="shared" si="12"/>
        <v>30.688000000000002</v>
      </c>
      <c r="P47" s="104">
        <f>IF(D47&gt;48,'DATOS REFERENCIALES'!$D$8+('DATOS REFERENCIALES'!$F$8*10),IF(D47&lt;39,'DATOS REFERENCIALES'!$E$8*D47,((D47-'DATOS REFERENCIALES'!$I$8)*'DATOS REFERENCIALES'!$F$8)+'DATOS REFERENCIALES'!$D$8))</f>
        <v>191.57</v>
      </c>
      <c r="Q47" s="94">
        <f>LOOKUP(C47,'TABLA ANTIG.'!$A$4:$A$39,'TABLA ANTIG.'!$B$4:$B$39)*(P47)</f>
        <v>0</v>
      </c>
      <c r="R47" s="94">
        <v>0</v>
      </c>
      <c r="S47" s="31">
        <f t="shared" si="13"/>
        <v>529.13799999999992</v>
      </c>
      <c r="T47" s="94">
        <f t="shared" si="14"/>
        <v>58.205179999999991</v>
      </c>
      <c r="U47" s="94">
        <f t="shared" si="15"/>
        <v>15.874139999999997</v>
      </c>
      <c r="V47" s="94">
        <f t="shared" si="15"/>
        <v>15.874139999999997</v>
      </c>
      <c r="W47" s="94">
        <f t="shared" si="16"/>
        <v>10.582759999999999</v>
      </c>
      <c r="X47" s="172">
        <f t="shared" si="17"/>
        <v>23.811209999999996</v>
      </c>
      <c r="Y47" s="31">
        <f t="shared" si="18"/>
        <v>124.34742999999997</v>
      </c>
      <c r="Z47" s="150">
        <f t="shared" si="19"/>
        <v>404.79056999999995</v>
      </c>
      <c r="AA47" s="94">
        <f>IF(D47&gt;38,'DATOS REFERENCIALES'!$D$10,'DATOS REFERENCIALES'!$E$10*D47)</f>
        <v>68.105000000000004</v>
      </c>
      <c r="AB47" s="94">
        <f>IF((IF(H47&gt;1119,('DATOS REFERENCIALES'!$C$9-(S47-T47-U47-V47-W47-X47+AA47)),('DATOS REFERENCIALES'!$C$9/20*D47)-(K47+N47+O47+P47+Q47+R47-T47-U47-V47-W47-X47+AA47)))&lt;0,0,IF(H47&gt;1119,(('DATOS REFERENCIALES'!$C$9/20*D47)-(S47-T47-U47-V47-W47-X47+AA47)),('DATOS REFERENCIALES'!$C$9/20*D47)-(K47+N47+O47+P47+Q47+R47-T47-U47-V47-W47-X47+AA47)))</f>
        <v>257.65443000000005</v>
      </c>
      <c r="AC47" s="94">
        <f t="shared" si="20"/>
        <v>730.55</v>
      </c>
      <c r="AD47" s="106">
        <f>IF(D47&gt;30,'DATOS REFERENCIALES'!$D$13,('DATOS REFERENCIALES'!$E$13*D47))</f>
        <v>80.666659999999993</v>
      </c>
      <c r="AE47" s="308"/>
      <c r="AF47" s="150">
        <f>IF(D47&gt;'DATOS REFERENCIALES'!$I$11,'DATOS REFERENCIALES'!$D$11,'DATOS REFERENCIALES'!$E$11*D47)</f>
        <v>21.34</v>
      </c>
      <c r="AG47" s="94">
        <f>IF(D47&gt;'DATOS REFERENCIALES'!$I$12,'DATOS REFERENCIALES'!$D$12,'DATOS REFERENCIALES'!$E$12*D47)</f>
        <v>14</v>
      </c>
      <c r="AH47" s="94">
        <f t="shared" si="21"/>
        <v>846.55665999999997</v>
      </c>
      <c r="AI47" s="13"/>
      <c r="AJ47" s="13"/>
      <c r="AK47" s="13"/>
      <c r="AL47" s="18"/>
      <c r="AM47" s="19"/>
      <c r="AN47" s="19"/>
      <c r="AR47" s="8"/>
    </row>
    <row r="48" spans="1:44" s="1" customFormat="1" ht="21.75" customHeight="1" x14ac:dyDescent="0.2">
      <c r="A48" s="89">
        <v>1599</v>
      </c>
      <c r="B48" s="115" t="s">
        <v>103</v>
      </c>
      <c r="C48" s="47">
        <v>0</v>
      </c>
      <c r="D48" s="49">
        <v>1</v>
      </c>
      <c r="E48" s="47"/>
      <c r="F48" s="47"/>
      <c r="G48" s="64">
        <v>56</v>
      </c>
      <c r="H48" s="47">
        <f t="shared" si="11"/>
        <v>56</v>
      </c>
      <c r="I48" s="47"/>
      <c r="J48" s="47"/>
      <c r="K48" s="104">
        <f>(H48*'DATOS REFERENCIALES'!$C$4)*D48</f>
        <v>306.88</v>
      </c>
      <c r="L48" s="104"/>
      <c r="M48" s="104"/>
      <c r="N48" s="94">
        <f>LOOKUP(C48,'TABLA ANTIG.'!$A$4:$A$39,'TABLA ANTIG.'!$B$4:$B$39)*(K48)</f>
        <v>0</v>
      </c>
      <c r="O48" s="31">
        <f t="shared" si="12"/>
        <v>30.688000000000002</v>
      </c>
      <c r="P48" s="104">
        <f>IF(D48&gt;48,'DATOS REFERENCIALES'!$D$8+('DATOS REFERENCIALES'!$F$8*10),IF(D48&lt;39,'DATOS REFERENCIALES'!$E$8*D48,((D48-'DATOS REFERENCIALES'!$I$8)*'DATOS REFERENCIALES'!$F$8)+'DATOS REFERENCIALES'!$D$8))</f>
        <v>191.57</v>
      </c>
      <c r="Q48" s="94">
        <f>LOOKUP(C48,'TABLA ANTIG.'!$A$4:$A$39,'TABLA ANTIG.'!$B$4:$B$39)*(P48)</f>
        <v>0</v>
      </c>
      <c r="R48" s="94">
        <v>0</v>
      </c>
      <c r="S48" s="31">
        <f t="shared" si="13"/>
        <v>529.13799999999992</v>
      </c>
      <c r="T48" s="94">
        <f t="shared" si="14"/>
        <v>58.205179999999991</v>
      </c>
      <c r="U48" s="94">
        <f t="shared" si="15"/>
        <v>15.874139999999997</v>
      </c>
      <c r="V48" s="94">
        <f t="shared" si="15"/>
        <v>15.874139999999997</v>
      </c>
      <c r="W48" s="94">
        <f t="shared" si="16"/>
        <v>10.582759999999999</v>
      </c>
      <c r="X48" s="172">
        <f t="shared" si="17"/>
        <v>23.811209999999996</v>
      </c>
      <c r="Y48" s="31">
        <f t="shared" si="18"/>
        <v>124.34742999999997</v>
      </c>
      <c r="Z48" s="150">
        <f t="shared" si="19"/>
        <v>404.79056999999995</v>
      </c>
      <c r="AA48" s="94">
        <f>IF(D48&gt;38,'DATOS REFERENCIALES'!$D$10,'DATOS REFERENCIALES'!$E$10*D48)</f>
        <v>68.105000000000004</v>
      </c>
      <c r="AB48" s="94">
        <f>IF((IF(H48&gt;1119,('DATOS REFERENCIALES'!$C$9-(S48-T48-U48-V48-W48-X48+AA48)),('DATOS REFERENCIALES'!$C$9/20*D48)-(K48+N48+O48+P48+Q48+R48-T48-U48-V48-W48-X48+AA48)))&lt;0,0,IF(H48&gt;1119,(('DATOS REFERENCIALES'!$C$9/20*D48)-(S48-T48-U48-V48-W48-X48+AA48)),('DATOS REFERENCIALES'!$C$9/20*D48)-(K48+N48+O48+P48+Q48+R48-T48-U48-V48-W48-X48+AA48)))</f>
        <v>257.65443000000005</v>
      </c>
      <c r="AC48" s="94">
        <f t="shared" si="20"/>
        <v>730.55</v>
      </c>
      <c r="AD48" s="106">
        <f>IF(D48&gt;30,'DATOS REFERENCIALES'!$D$13,('DATOS REFERENCIALES'!$E$13*D48))</f>
        <v>80.666659999999993</v>
      </c>
      <c r="AE48" s="308"/>
      <c r="AF48" s="150">
        <f>IF(D48&gt;'DATOS REFERENCIALES'!$I$11,'DATOS REFERENCIALES'!$D$11,'DATOS REFERENCIALES'!$E$11*D48)</f>
        <v>21.34</v>
      </c>
      <c r="AG48" s="94">
        <f>IF(D48&gt;'DATOS REFERENCIALES'!$I$12,'DATOS REFERENCIALES'!$D$12,'DATOS REFERENCIALES'!$E$12*D48)</f>
        <v>14</v>
      </c>
      <c r="AH48" s="94">
        <f t="shared" si="21"/>
        <v>846.55665999999997</v>
      </c>
      <c r="AI48" s="13"/>
      <c r="AJ48" s="13"/>
      <c r="AK48" s="13"/>
      <c r="AL48" s="18"/>
      <c r="AM48" s="19"/>
      <c r="AN48" s="19"/>
      <c r="AR48" s="8"/>
    </row>
    <row r="49" spans="1:44" s="1" customFormat="1" ht="21.75" customHeight="1" x14ac:dyDescent="0.2">
      <c r="A49" s="89">
        <v>1599</v>
      </c>
      <c r="B49" s="115" t="s">
        <v>104</v>
      </c>
      <c r="C49" s="47">
        <v>0</v>
      </c>
      <c r="D49" s="49">
        <v>1</v>
      </c>
      <c r="E49" s="47"/>
      <c r="F49" s="47"/>
      <c r="G49" s="64">
        <v>56</v>
      </c>
      <c r="H49" s="47">
        <f t="shared" si="11"/>
        <v>56</v>
      </c>
      <c r="I49" s="47"/>
      <c r="J49" s="47"/>
      <c r="K49" s="255">
        <f>(H49*'DATOS REFERENCIALES'!$C$4)*D49</f>
        <v>306.88</v>
      </c>
      <c r="L49" s="255"/>
      <c r="M49" s="255"/>
      <c r="N49" s="175">
        <f>LOOKUP(C49,'TABLA ANTIG.'!$A$4:$A$39,'TABLA ANTIG.'!$B$4:$B$39)*(K49)</f>
        <v>0</v>
      </c>
      <c r="O49" s="173">
        <f t="shared" si="12"/>
        <v>30.688000000000002</v>
      </c>
      <c r="P49" s="104">
        <f>IF(D49&gt;48,'DATOS REFERENCIALES'!$D$8+('DATOS REFERENCIALES'!$F$8*10),IF(D49&lt;39,'DATOS REFERENCIALES'!$E$8*D49,((D49-'DATOS REFERENCIALES'!$I$8)*'DATOS REFERENCIALES'!$F$8)+'DATOS REFERENCIALES'!$D$8))</f>
        <v>191.57</v>
      </c>
      <c r="Q49" s="175">
        <f>LOOKUP(C49,'TABLA ANTIG.'!$A$4:$A$39,'TABLA ANTIG.'!$B$4:$B$39)*(P49)</f>
        <v>0</v>
      </c>
      <c r="R49" s="175">
        <v>0</v>
      </c>
      <c r="S49" s="173">
        <f t="shared" si="13"/>
        <v>529.13799999999992</v>
      </c>
      <c r="T49" s="175">
        <f t="shared" si="14"/>
        <v>58.205179999999991</v>
      </c>
      <c r="U49" s="175">
        <f t="shared" si="15"/>
        <v>15.874139999999997</v>
      </c>
      <c r="V49" s="175">
        <f t="shared" si="15"/>
        <v>15.874139999999997</v>
      </c>
      <c r="W49" s="175">
        <f t="shared" si="16"/>
        <v>10.582759999999999</v>
      </c>
      <c r="X49" s="178">
        <f t="shared" si="17"/>
        <v>23.811209999999996</v>
      </c>
      <c r="Y49" s="173">
        <f t="shared" si="18"/>
        <v>124.34742999999997</v>
      </c>
      <c r="Z49" s="174">
        <f t="shared" si="19"/>
        <v>404.79056999999995</v>
      </c>
      <c r="AA49" s="175">
        <f>IF(D49&gt;38,'DATOS REFERENCIALES'!$D$10,'DATOS REFERENCIALES'!$E$10*D49)</f>
        <v>68.105000000000004</v>
      </c>
      <c r="AB49" s="94">
        <f>IF((IF(H49&gt;1119,('DATOS REFERENCIALES'!$C$9-(S49-T49-U49-V49-W49-X49+AA49)),('DATOS REFERENCIALES'!$C$9/20*D49)-(K49+N49+O49+P49+Q49+R49-T49-U49-V49-W49-X49+AA49)))&lt;0,0,IF(H49&gt;1119,(('DATOS REFERENCIALES'!$C$9/20*D49)-(S49-T49-U49-V49-W49-X49+AA49)),('DATOS REFERENCIALES'!$C$9/20*D49)-(K49+N49+O49+P49+Q49+R49-T49-U49-V49-W49-X49+AA49)))</f>
        <v>257.65443000000005</v>
      </c>
      <c r="AC49" s="175">
        <f t="shared" si="20"/>
        <v>730.55</v>
      </c>
      <c r="AD49" s="106">
        <f>IF(D49&gt;30,'DATOS REFERENCIALES'!$D$13,('DATOS REFERENCIALES'!$E$13*D49))</f>
        <v>80.666659999999993</v>
      </c>
      <c r="AE49" s="308"/>
      <c r="AF49" s="150">
        <f>IF(D49&gt;'DATOS REFERENCIALES'!$I$11,'DATOS REFERENCIALES'!$D$11,'DATOS REFERENCIALES'!$E$11*D49)</f>
        <v>21.34</v>
      </c>
      <c r="AG49" s="94">
        <f>IF(D49&gt;'DATOS REFERENCIALES'!$I$12,'DATOS REFERENCIALES'!$D$12,'DATOS REFERENCIALES'!$E$12*D49)</f>
        <v>14</v>
      </c>
      <c r="AH49" s="94">
        <f t="shared" si="21"/>
        <v>846.55665999999997</v>
      </c>
      <c r="AI49" s="13"/>
      <c r="AJ49" s="13"/>
      <c r="AK49" s="13"/>
      <c r="AL49" s="18"/>
      <c r="AM49" s="19"/>
      <c r="AN49" s="19"/>
      <c r="AR49" s="8"/>
    </row>
    <row r="50" spans="1:44" s="1" customFormat="1" ht="21.75" customHeight="1" thickBot="1" x14ac:dyDescent="0.25">
      <c r="A50" s="134">
        <v>1599</v>
      </c>
      <c r="B50" s="281" t="s">
        <v>105</v>
      </c>
      <c r="C50" s="63">
        <v>0</v>
      </c>
      <c r="D50" s="69">
        <v>1</v>
      </c>
      <c r="E50" s="63"/>
      <c r="F50" s="63"/>
      <c r="G50" s="70">
        <v>56</v>
      </c>
      <c r="H50" s="63">
        <f t="shared" si="11"/>
        <v>56</v>
      </c>
      <c r="I50" s="69"/>
      <c r="J50" s="69"/>
      <c r="K50" s="105">
        <f>(H50*'DATOS REFERENCIALES'!$C$4)*D50</f>
        <v>306.88</v>
      </c>
      <c r="L50" s="105"/>
      <c r="M50" s="105"/>
      <c r="N50" s="95">
        <f>LOOKUP(C50,'TABLA ANTIG.'!$A$4:$A$39,'TABLA ANTIG.'!$B$4:$B$39)*(K50)</f>
        <v>0</v>
      </c>
      <c r="O50" s="35">
        <f t="shared" si="12"/>
        <v>30.688000000000002</v>
      </c>
      <c r="P50" s="105">
        <f>IF(D50&gt;48,'DATOS REFERENCIALES'!$D$8+('DATOS REFERENCIALES'!$F$8*10),IF(D50&lt;39,'DATOS REFERENCIALES'!$E$8*D50,((D50-'DATOS REFERENCIALES'!$I$8)*'DATOS REFERENCIALES'!$F$8)+'DATOS REFERENCIALES'!$D$8))</f>
        <v>191.57</v>
      </c>
      <c r="Q50" s="95">
        <f>LOOKUP(C50,'TABLA ANTIG.'!$A$4:$A$39,'TABLA ANTIG.'!$B$4:$B$39)*(P50)</f>
        <v>0</v>
      </c>
      <c r="R50" s="95">
        <v>0</v>
      </c>
      <c r="S50" s="35">
        <f t="shared" si="13"/>
        <v>529.13799999999992</v>
      </c>
      <c r="T50" s="95">
        <f t="shared" si="14"/>
        <v>58.205179999999991</v>
      </c>
      <c r="U50" s="95">
        <f t="shared" si="15"/>
        <v>15.874139999999997</v>
      </c>
      <c r="V50" s="95">
        <f t="shared" si="15"/>
        <v>15.874139999999997</v>
      </c>
      <c r="W50" s="95">
        <f t="shared" si="16"/>
        <v>10.582759999999999</v>
      </c>
      <c r="X50" s="179">
        <f t="shared" si="17"/>
        <v>23.811209999999996</v>
      </c>
      <c r="Y50" s="35">
        <f t="shared" si="18"/>
        <v>124.34742999999997</v>
      </c>
      <c r="Z50" s="95">
        <f t="shared" si="19"/>
        <v>404.79056999999995</v>
      </c>
      <c r="AA50" s="95">
        <f>IF(D50&gt;38,'DATOS REFERENCIALES'!$D$10,'DATOS REFERENCIALES'!$E$10*D50)</f>
        <v>68.105000000000004</v>
      </c>
      <c r="AB50" s="95">
        <f>IF((IF(H50&gt;1119,('DATOS REFERENCIALES'!$C$9-(S50-T50-U50-V50-W50-X50+AA50)),('DATOS REFERENCIALES'!$C$9/20*D50)-(K50+N50+O50+P50+Q50+R50-T50-U50-V50-W50-X50+AA50)))&lt;0,0,IF(H50&gt;1119,(('DATOS REFERENCIALES'!$C$9/20*D50)-(S50-T50-U50-V50-W50-X50+AA50)),('DATOS REFERENCIALES'!$C$9/20*D50)-(K50+N50+O50+P50+Q50+R50-T50-U50-V50-W50-X50+AA50)))</f>
        <v>257.65443000000005</v>
      </c>
      <c r="AC50" s="95">
        <f t="shared" si="20"/>
        <v>730.55</v>
      </c>
      <c r="AD50" s="107">
        <f>IF(D50&gt;30,'DATOS REFERENCIALES'!$D$13,('DATOS REFERENCIALES'!$E$13*D50))</f>
        <v>80.666659999999993</v>
      </c>
      <c r="AE50" s="306"/>
      <c r="AF50" s="151">
        <f>IF(D50&gt;'DATOS REFERENCIALES'!$I$11,'DATOS REFERENCIALES'!$D$11,'DATOS REFERENCIALES'!$E$11*D50)</f>
        <v>21.34</v>
      </c>
      <c r="AG50" s="95">
        <f>IF(D50&gt;'DATOS REFERENCIALES'!$I$12,'DATOS REFERENCIALES'!$D$12,'DATOS REFERENCIALES'!$E$12*D50)</f>
        <v>14</v>
      </c>
      <c r="AH50" s="95">
        <f t="shared" si="21"/>
        <v>846.55665999999997</v>
      </c>
      <c r="AI50" s="13"/>
      <c r="AJ50" s="13"/>
      <c r="AK50" s="13"/>
      <c r="AL50" s="18"/>
      <c r="AM50" s="19"/>
      <c r="AN50" s="19"/>
      <c r="AR50" s="8"/>
    </row>
    <row r="51" spans="1:44" s="1" customFormat="1" ht="21.75" customHeight="1" thickBot="1" x14ac:dyDescent="0.25">
      <c r="A51" s="55"/>
      <c r="B51" s="111"/>
      <c r="C51" s="56"/>
      <c r="D51" s="56"/>
      <c r="E51" s="56"/>
      <c r="F51" s="56"/>
      <c r="G51" s="80"/>
      <c r="H51" s="56"/>
      <c r="I51" s="56"/>
      <c r="J51" s="56"/>
      <c r="K51" s="53"/>
      <c r="L51" s="53"/>
      <c r="M51" s="53"/>
      <c r="N51" s="54"/>
      <c r="O51" s="87"/>
      <c r="P51" s="53"/>
      <c r="Q51" s="54"/>
      <c r="R51" s="54"/>
      <c r="S51" s="87"/>
      <c r="T51" s="54"/>
      <c r="U51" s="54"/>
      <c r="V51" s="54"/>
      <c r="W51" s="54"/>
      <c r="X51" s="54"/>
      <c r="Y51" s="87"/>
      <c r="Z51" s="57"/>
      <c r="AA51" s="58"/>
      <c r="AB51" s="57"/>
      <c r="AC51" s="57"/>
      <c r="AD51" s="59"/>
      <c r="AE51" s="59"/>
      <c r="AF51" s="82"/>
      <c r="AG51" s="82"/>
      <c r="AH51" s="57"/>
      <c r="AI51" s="13"/>
      <c r="AJ51" s="13"/>
      <c r="AK51" s="13"/>
      <c r="AL51" s="18"/>
      <c r="AM51" s="19"/>
      <c r="AN51" s="19"/>
      <c r="AR51" s="8"/>
    </row>
    <row r="52" spans="1:44" s="1" customFormat="1" ht="21" thickBot="1" x14ac:dyDescent="0.35">
      <c r="A52" s="109" t="s">
        <v>140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09" t="s">
        <v>140</v>
      </c>
      <c r="AC52" s="110"/>
      <c r="AD52" s="110"/>
      <c r="AE52" s="110"/>
      <c r="AF52" s="110"/>
      <c r="AG52" s="110"/>
      <c r="AH52" s="110"/>
      <c r="AI52" s="13"/>
      <c r="AJ52" s="13"/>
      <c r="AK52" s="13"/>
      <c r="AL52" s="18"/>
      <c r="AM52" s="19"/>
      <c r="AN52" s="19"/>
    </row>
    <row r="53" spans="1:44" s="2" customFormat="1" ht="12.75" customHeight="1" thickBot="1" x14ac:dyDescent="0.25">
      <c r="A53" s="623" t="s">
        <v>1</v>
      </c>
      <c r="B53" s="623" t="s">
        <v>0</v>
      </c>
      <c r="C53" s="585" t="s">
        <v>83</v>
      </c>
      <c r="D53" s="585" t="s">
        <v>126</v>
      </c>
      <c r="E53" s="585" t="s">
        <v>134</v>
      </c>
      <c r="F53" s="585" t="s">
        <v>120</v>
      </c>
      <c r="G53" s="585" t="s">
        <v>109</v>
      </c>
      <c r="H53" s="585" t="s">
        <v>85</v>
      </c>
      <c r="I53" s="585" t="s">
        <v>156</v>
      </c>
      <c r="J53" s="602" t="s">
        <v>155</v>
      </c>
      <c r="K53" s="602" t="s">
        <v>128</v>
      </c>
      <c r="L53" s="602" t="s">
        <v>154</v>
      </c>
      <c r="M53" s="602" t="s">
        <v>155</v>
      </c>
      <c r="N53" s="646" t="s">
        <v>91</v>
      </c>
      <c r="O53" s="596" t="s">
        <v>127</v>
      </c>
      <c r="P53" s="611" t="s">
        <v>92</v>
      </c>
      <c r="Q53" s="596" t="s">
        <v>108</v>
      </c>
      <c r="R53" s="596" t="s">
        <v>90</v>
      </c>
      <c r="S53" s="596" t="s">
        <v>74</v>
      </c>
      <c r="T53" s="615" t="s">
        <v>63</v>
      </c>
      <c r="U53" s="615"/>
      <c r="V53" s="615"/>
      <c r="W53" s="615"/>
      <c r="X53" s="615"/>
      <c r="Y53" s="585" t="s">
        <v>73</v>
      </c>
      <c r="Z53" s="585" t="s">
        <v>95</v>
      </c>
      <c r="AA53" s="585" t="s">
        <v>94</v>
      </c>
      <c r="AB53" s="585" t="s">
        <v>93</v>
      </c>
      <c r="AC53" s="585" t="s">
        <v>97</v>
      </c>
      <c r="AD53" s="585" t="s">
        <v>96</v>
      </c>
      <c r="AE53" s="585" t="s">
        <v>182</v>
      </c>
      <c r="AF53" s="585" t="s">
        <v>107</v>
      </c>
      <c r="AG53" s="618" t="s">
        <v>153</v>
      </c>
      <c r="AH53" s="585" t="s">
        <v>98</v>
      </c>
      <c r="AI53" s="17"/>
      <c r="AJ53" s="17"/>
      <c r="AK53" s="17"/>
      <c r="AL53" s="18"/>
      <c r="AM53" s="19"/>
      <c r="AN53" s="19"/>
    </row>
    <row r="54" spans="1:44" s="2" customFormat="1" ht="87.75" customHeight="1" thickBot="1" x14ac:dyDescent="0.25">
      <c r="A54" s="645"/>
      <c r="B54" s="645"/>
      <c r="C54" s="626"/>
      <c r="D54" s="626"/>
      <c r="E54" s="626"/>
      <c r="F54" s="626"/>
      <c r="G54" s="626"/>
      <c r="H54" s="626"/>
      <c r="I54" s="586"/>
      <c r="J54" s="603"/>
      <c r="K54" s="648"/>
      <c r="L54" s="648"/>
      <c r="M54" s="648"/>
      <c r="N54" s="647"/>
      <c r="O54" s="629"/>
      <c r="P54" s="650"/>
      <c r="Q54" s="629"/>
      <c r="R54" s="629"/>
      <c r="S54" s="629"/>
      <c r="T54" s="112" t="s">
        <v>148</v>
      </c>
      <c r="U54" s="112" t="s">
        <v>65</v>
      </c>
      <c r="V54" s="112" t="s">
        <v>66</v>
      </c>
      <c r="W54" s="112" t="s">
        <v>67</v>
      </c>
      <c r="X54" s="112" t="s">
        <v>68</v>
      </c>
      <c r="Y54" s="626"/>
      <c r="Z54" s="626"/>
      <c r="AA54" s="626"/>
      <c r="AB54" s="586"/>
      <c r="AC54" s="626"/>
      <c r="AD54" s="626"/>
      <c r="AE54" s="586"/>
      <c r="AF54" s="586"/>
      <c r="AG54" s="586"/>
      <c r="AH54" s="626"/>
      <c r="AI54" s="17"/>
      <c r="AJ54" s="17"/>
      <c r="AK54" s="17"/>
      <c r="AL54" s="18"/>
      <c r="AM54" s="19"/>
      <c r="AN54" s="19"/>
    </row>
    <row r="55" spans="1:44" s="1" customFormat="1" ht="24.75" customHeight="1" x14ac:dyDescent="0.2">
      <c r="A55" s="539">
        <v>5080</v>
      </c>
      <c r="B55" s="540" t="s">
        <v>25</v>
      </c>
      <c r="C55" s="374">
        <v>0</v>
      </c>
      <c r="D55" s="528"/>
      <c r="E55" s="528"/>
      <c r="F55" s="528"/>
      <c r="G55" s="446">
        <v>3128</v>
      </c>
      <c r="H55" s="374">
        <f t="shared" ref="H55:H66" si="22">SUM(G55:G55)</f>
        <v>3128</v>
      </c>
      <c r="I55" s="374"/>
      <c r="J55" s="374"/>
      <c r="K55" s="379">
        <f>H55*'DATOS REFERENCIALES'!$C$4</f>
        <v>17141.440000000002</v>
      </c>
      <c r="L55" s="379"/>
      <c r="M55" s="379"/>
      <c r="N55" s="381">
        <f>LOOKUP(C55,'TABLA ANTIG.'!$A$4:$A$39,'TABLA ANTIG.'!$B$4:$B$39)*(K55)</f>
        <v>0</v>
      </c>
      <c r="O55" s="381">
        <f t="shared" ref="O55:O66" si="23">K55*0.1</f>
        <v>1714.1440000000002</v>
      </c>
      <c r="P55" s="379">
        <f>'DATOS REFERENCIALES'!$D$8</f>
        <v>7280</v>
      </c>
      <c r="Q55" s="381">
        <f>LOOKUP(C55,'TABLA ANTIG.'!$A$4:$A$39,'TABLA ANTIG.'!$B$4:$B$39)*(P55)</f>
        <v>0</v>
      </c>
      <c r="R55" s="381">
        <v>0</v>
      </c>
      <c r="S55" s="381">
        <f t="shared" ref="S55:S66" si="24">K55+N55+O55+P55+Q55+R55</f>
        <v>26135.584000000003</v>
      </c>
      <c r="T55" s="381">
        <f t="shared" ref="T55:T66" si="25">$S55*11%</f>
        <v>2874.9142400000005</v>
      </c>
      <c r="U55" s="381">
        <f t="shared" ref="U55:V66" si="26">$S55*3%</f>
        <v>784.06752000000006</v>
      </c>
      <c r="V55" s="381">
        <f t="shared" si="26"/>
        <v>784.06752000000006</v>
      </c>
      <c r="W55" s="381">
        <f t="shared" ref="W55:W66" si="27">$S55*2%</f>
        <v>522.71168000000011</v>
      </c>
      <c r="X55" s="381">
        <f t="shared" ref="X55:X66" si="28">$S55*4.5%</f>
        <v>1176.1012800000001</v>
      </c>
      <c r="Y55" s="381">
        <f t="shared" ref="Y55:Y66" si="29">SUM(T55:X55)</f>
        <v>6141.8622400000013</v>
      </c>
      <c r="Z55" s="381">
        <f t="shared" ref="Z55:Z66" si="30">S55-Y55</f>
        <v>19993.72176</v>
      </c>
      <c r="AA55" s="541">
        <f>'DATOS REFERENCIALES'!$D$10</f>
        <v>2588</v>
      </c>
      <c r="AB55" s="381">
        <f>IF((IF(H55&gt;2240,('DATOS REFERENCIALES'!$D$9-(S55-T55-U55-V55-W55-X55+AA55)),(('DATOS REFERENCIALES'!$D$9/2240)*2240)-(K55+N55+O55+P55+Q55+R55-T55-U55-V55-W55-X55+AA55)))&lt;0,0,IF(2240&gt;2240,(('DATOS REFERENCIALES'!$D$9)-(S55-T55-U55-V55-W55-X55+AA55)),(('DATOS REFERENCIALES'!$D$9/2240)*2240)-(K55+N55+O55+P55+Q55+R55-T55-U55-V55-W55-X55+AA55)))</f>
        <v>6640.2782399999996</v>
      </c>
      <c r="AC55" s="385">
        <f t="shared" ref="AC55:AC66" si="31">SUM(Z55:AB55)</f>
        <v>29222</v>
      </c>
      <c r="AD55" s="386">
        <f>'DATOS REFERENCIALES'!$D$13</f>
        <v>2420</v>
      </c>
      <c r="AE55" s="408"/>
      <c r="AF55" s="385">
        <f>'DATOS REFERENCIALES'!$D$11</f>
        <v>640</v>
      </c>
      <c r="AG55" s="381">
        <f>'DATOS REFERENCIALES'!$D$12</f>
        <v>420</v>
      </c>
      <c r="AH55" s="583">
        <f>SUM(AC55:AG55)+SUM(AC56:AG56)</f>
        <v>34649.310437599997</v>
      </c>
      <c r="AI55" s="13"/>
      <c r="AJ55" s="13"/>
      <c r="AK55" s="13"/>
      <c r="AL55" s="18"/>
      <c r="AM55" s="19"/>
      <c r="AN55" s="19"/>
      <c r="AR55" s="8"/>
    </row>
    <row r="56" spans="1:44" s="1" customFormat="1" ht="25.5" customHeight="1" thickBot="1" x14ac:dyDescent="0.25">
      <c r="A56" s="542">
        <v>5080</v>
      </c>
      <c r="B56" s="543" t="s">
        <v>25</v>
      </c>
      <c r="C56" s="389">
        <f>IF(C55&gt;0,C55,0)</f>
        <v>0</v>
      </c>
      <c r="D56" s="544"/>
      <c r="E56" s="544"/>
      <c r="F56" s="544"/>
      <c r="G56" s="545"/>
      <c r="H56" s="546"/>
      <c r="I56" s="389">
        <v>234.6</v>
      </c>
      <c r="J56" s="393" t="s">
        <v>158</v>
      </c>
      <c r="K56" s="394"/>
      <c r="L56" s="394">
        <f>I56*'DATOS REFERENCIALES'!$C$4</f>
        <v>1285.6080000000002</v>
      </c>
      <c r="M56" s="394">
        <f>IF(J56='DATOS REFERENCIALES'!$C$28,K55*'DATOS REFERENCIALES'!$D$28,IF(J56='DATOS REFERENCIALES'!$C$29,('DATOS REFERENCIALES'!$D$29*K55),IF(J56='DATOS REFERENCIALES'!$C$30,('DATOS REFERENCIALES'!$D$30*K55),IF(J56='DATOS REFERENCIALES'!$C$31,('DATOS REFERENCIALES'!$D$31*K55),IF(J56='DATOS REFERENCIALES'!$C$32,('DATOS REFERENCIALES'!$D$32*K55),IF(J56='DATOS REFERENCIALES'!$C$33,('DATOS REFERENCIALES'!$D$33*K55),IF(J56='DATOS REFERENCIALES'!$C$34,('DATOS REFERENCIALES'!$D$34*K55),IF(J56='DATOS REFERENCIALES'!$C$35,('DATOS REFERENCIALES'!$D$35*K55),0))))))))</f>
        <v>1028.4864</v>
      </c>
      <c r="N56" s="396">
        <f>LOOKUP(C56,'TABLA ANTIG.'!$A$4:$A$39,'TABLA ANTIG.'!$B$4:$B$39)*(L56+M56)</f>
        <v>0</v>
      </c>
      <c r="O56" s="396">
        <f>(L56+M56)*0.1</f>
        <v>231.40944000000002</v>
      </c>
      <c r="P56" s="394"/>
      <c r="Q56" s="396"/>
      <c r="R56" s="395"/>
      <c r="S56" s="396">
        <f>L56+M56+N56+O56+P56+Q56+R56</f>
        <v>2545.5038399999999</v>
      </c>
      <c r="T56" s="399">
        <f t="shared" si="25"/>
        <v>280.00542239999999</v>
      </c>
      <c r="U56" s="396">
        <f t="shared" si="26"/>
        <v>76.365115199999991</v>
      </c>
      <c r="V56" s="399">
        <f t="shared" si="26"/>
        <v>76.365115199999991</v>
      </c>
      <c r="W56" s="396">
        <f>$S56*2%</f>
        <v>50.910076799999999</v>
      </c>
      <c r="X56" s="396">
        <f t="shared" si="28"/>
        <v>114.54767279999999</v>
      </c>
      <c r="Y56" s="396">
        <f t="shared" si="29"/>
        <v>598.19340239999997</v>
      </c>
      <c r="Z56" s="400">
        <f t="shared" si="30"/>
        <v>1947.3104375999999</v>
      </c>
      <c r="AA56" s="396"/>
      <c r="AB56" s="396"/>
      <c r="AC56" s="395">
        <f t="shared" si="31"/>
        <v>1947.3104375999999</v>
      </c>
      <c r="AD56" s="401"/>
      <c r="AE56" s="414"/>
      <c r="AF56" s="395"/>
      <c r="AG56" s="396"/>
      <c r="AH56" s="584"/>
      <c r="AI56" s="13"/>
      <c r="AJ56" s="13"/>
      <c r="AK56" s="13"/>
      <c r="AL56" s="18"/>
      <c r="AM56" s="19"/>
      <c r="AN56" s="19"/>
      <c r="AR56" s="8"/>
    </row>
    <row r="57" spans="1:44" s="1" customFormat="1" ht="33.75" customHeight="1" x14ac:dyDescent="0.2">
      <c r="A57" s="312">
        <v>5081</v>
      </c>
      <c r="B57" s="547" t="s">
        <v>72</v>
      </c>
      <c r="C57" s="312">
        <v>0</v>
      </c>
      <c r="D57" s="548"/>
      <c r="E57" s="548"/>
      <c r="F57" s="548"/>
      <c r="G57" s="313">
        <v>2669</v>
      </c>
      <c r="H57" s="312">
        <f t="shared" si="22"/>
        <v>2669</v>
      </c>
      <c r="I57" s="312"/>
      <c r="J57" s="312"/>
      <c r="K57" s="314">
        <f>H57*'DATOS REFERENCIALES'!$C$4</f>
        <v>14626.12</v>
      </c>
      <c r="L57" s="314"/>
      <c r="M57" s="314"/>
      <c r="N57" s="316">
        <f>LOOKUP(C57,'TABLA ANTIG.'!$A$4:$A$39,'TABLA ANTIG.'!$B$4:$B$39)*(K57)</f>
        <v>0</v>
      </c>
      <c r="O57" s="316">
        <f t="shared" si="23"/>
        <v>1462.6120000000001</v>
      </c>
      <c r="P57" s="314">
        <f>'DATOS REFERENCIALES'!$D$8</f>
        <v>7280</v>
      </c>
      <c r="Q57" s="316">
        <f>LOOKUP(C57,'TABLA ANTIG.'!$A$4:$A$39,'TABLA ANTIG.'!$B$4:$B$39)*(P57)</f>
        <v>0</v>
      </c>
      <c r="R57" s="316">
        <v>0</v>
      </c>
      <c r="S57" s="316">
        <f t="shared" si="24"/>
        <v>23368.732</v>
      </c>
      <c r="T57" s="316">
        <f t="shared" si="25"/>
        <v>2570.56052</v>
      </c>
      <c r="U57" s="316">
        <f t="shared" si="26"/>
        <v>701.06196</v>
      </c>
      <c r="V57" s="316">
        <f t="shared" si="26"/>
        <v>701.06196</v>
      </c>
      <c r="W57" s="316">
        <f t="shared" si="27"/>
        <v>467.37464</v>
      </c>
      <c r="X57" s="316">
        <f t="shared" si="28"/>
        <v>1051.59294</v>
      </c>
      <c r="Y57" s="316">
        <f t="shared" si="29"/>
        <v>5491.6520199999995</v>
      </c>
      <c r="Z57" s="316">
        <f t="shared" si="30"/>
        <v>17877.079980000002</v>
      </c>
      <c r="AA57" s="549">
        <f>'DATOS REFERENCIALES'!$D$10</f>
        <v>2588</v>
      </c>
      <c r="AB57" s="316">
        <f>IF((IF(H57&gt;2240,('DATOS REFERENCIALES'!$D$9-(S57-T57-U57-V57-W57-X57+AA57)),(('DATOS REFERENCIALES'!$D$9/2240)*2240)-(K57+N57+O57+P57+Q57+R57-T57-U57-V57-W57-X57+AA57)))&lt;0,0,IF(2240&gt;2240,(('DATOS REFERENCIALES'!$D$9)-(S57-T57-U57-V57-W57-X57+AA57)),(('DATOS REFERENCIALES'!$D$9/2240)*2240)-(K57+N57+O57+P57+Q57+R57-T57-U57-V57-W57-X57+AA57)))</f>
        <v>8756.9200199999941</v>
      </c>
      <c r="AC57" s="318">
        <f t="shared" si="31"/>
        <v>29221.999999999996</v>
      </c>
      <c r="AD57" s="321">
        <f>'DATOS REFERENCIALES'!$D$13</f>
        <v>2420</v>
      </c>
      <c r="AE57" s="438"/>
      <c r="AF57" s="318">
        <f>'DATOS REFERENCIALES'!$D$11</f>
        <v>640</v>
      </c>
      <c r="AG57" s="316">
        <f>'DATOS REFERENCIALES'!$D$12</f>
        <v>420</v>
      </c>
      <c r="AH57" s="579">
        <f>SUM(AC57:AG57)+SUM(AC58:AG58)</f>
        <v>33625.114055599995</v>
      </c>
      <c r="AI57" s="13"/>
      <c r="AJ57" s="13"/>
      <c r="AK57" s="13"/>
      <c r="AL57" s="18"/>
      <c r="AM57" s="19"/>
      <c r="AN57" s="19"/>
      <c r="AR57" s="8"/>
    </row>
    <row r="58" spans="1:44" s="1" customFormat="1" ht="33.75" customHeight="1" thickBot="1" x14ac:dyDescent="0.25">
      <c r="A58" s="365">
        <v>5081</v>
      </c>
      <c r="B58" s="550" t="s">
        <v>72</v>
      </c>
      <c r="C58" s="324">
        <f>IF(C57&gt;0,C57,0)</f>
        <v>0</v>
      </c>
      <c r="D58" s="551"/>
      <c r="E58" s="551"/>
      <c r="F58" s="551"/>
      <c r="G58" s="457"/>
      <c r="H58" s="365"/>
      <c r="I58" s="365">
        <v>200.18</v>
      </c>
      <c r="J58" s="552"/>
      <c r="K58" s="369"/>
      <c r="L58" s="369">
        <f>I58*'DATOS REFERENCIALES'!$C$4</f>
        <v>1096.9864000000002</v>
      </c>
      <c r="M58" s="369">
        <f>IF(J58='DATOS REFERENCIALES'!$C$28,K57*'DATOS REFERENCIALES'!$D$28,IF(J58='DATOS REFERENCIALES'!$C$29,('DATOS REFERENCIALES'!$D$29*K57),IF(J58='DATOS REFERENCIALES'!$C$30,('DATOS REFERENCIALES'!$D$30*K57),IF(J58='DATOS REFERENCIALES'!$C$31,('DATOS REFERENCIALES'!$D$31*K57),IF(J58='DATOS REFERENCIALES'!$C$32,('DATOS REFERENCIALES'!$D$32*K57),IF(J58='DATOS REFERENCIALES'!$C$33,('DATOS REFERENCIALES'!$D$33*K57),IF(J58='DATOS REFERENCIALES'!$C$34,('DATOS REFERENCIALES'!$D$34*K57),IF(J58='DATOS REFERENCIALES'!$C$35,('DATOS REFERENCIALES'!$D$35*K57),0))))))))</f>
        <v>0</v>
      </c>
      <c r="N58" s="336">
        <f>LOOKUP(C58,'TABLA ANTIG.'!$A$4:$A$39,'TABLA ANTIG.'!$B$4:$B$39)*(L58+M58)</f>
        <v>0</v>
      </c>
      <c r="O58" s="336">
        <f>(L58+M58)*0.1</f>
        <v>109.69864000000003</v>
      </c>
      <c r="P58" s="369"/>
      <c r="Q58" s="336"/>
      <c r="R58" s="333"/>
      <c r="S58" s="336">
        <f>L58+M58+N58+O58+P58+Q58+R58</f>
        <v>1206.6850400000003</v>
      </c>
      <c r="T58" s="370">
        <f t="shared" si="25"/>
        <v>132.73535440000003</v>
      </c>
      <c r="U58" s="336">
        <f t="shared" si="26"/>
        <v>36.200551200000007</v>
      </c>
      <c r="V58" s="370">
        <f t="shared" si="26"/>
        <v>36.200551200000007</v>
      </c>
      <c r="W58" s="336">
        <f>$S58*2%</f>
        <v>24.133700800000007</v>
      </c>
      <c r="X58" s="336">
        <f t="shared" si="28"/>
        <v>54.30082680000001</v>
      </c>
      <c r="Y58" s="336">
        <f t="shared" si="29"/>
        <v>283.57098440000004</v>
      </c>
      <c r="Z58" s="371">
        <f t="shared" si="30"/>
        <v>923.11405560000026</v>
      </c>
      <c r="AA58" s="336"/>
      <c r="AB58" s="336"/>
      <c r="AC58" s="333">
        <f t="shared" si="31"/>
        <v>923.11405560000026</v>
      </c>
      <c r="AD58" s="571"/>
      <c r="AE58" s="444"/>
      <c r="AF58" s="333"/>
      <c r="AG58" s="336"/>
      <c r="AH58" s="580"/>
      <c r="AI58" s="13"/>
      <c r="AJ58" s="13"/>
      <c r="AK58" s="13"/>
      <c r="AL58" s="18"/>
      <c r="AM58" s="19"/>
      <c r="AN58" s="19"/>
      <c r="AR58" s="8"/>
    </row>
    <row r="59" spans="1:44" s="1" customFormat="1" ht="21.75" customHeight="1" x14ac:dyDescent="0.2">
      <c r="A59" s="139">
        <v>1503</v>
      </c>
      <c r="B59" s="277" t="s">
        <v>69</v>
      </c>
      <c r="C59" s="278">
        <v>0</v>
      </c>
      <c r="D59" s="278"/>
      <c r="E59" s="278"/>
      <c r="F59" s="278"/>
      <c r="G59" s="184">
        <v>1942</v>
      </c>
      <c r="H59" s="139">
        <f t="shared" si="22"/>
        <v>1942</v>
      </c>
      <c r="I59" s="139"/>
      <c r="J59" s="139"/>
      <c r="K59" s="120">
        <f>H59*'DATOS REFERENCIALES'!$C$4</f>
        <v>10642.160000000002</v>
      </c>
      <c r="L59" s="120"/>
      <c r="M59" s="120"/>
      <c r="N59" s="122">
        <f>LOOKUP(C59,'TABLA ANTIG.'!$A$4:$A$39,'TABLA ANTIG.'!$B$4:$B$39)*(K59)</f>
        <v>0</v>
      </c>
      <c r="O59" s="133">
        <f t="shared" si="23"/>
        <v>1064.2160000000001</v>
      </c>
      <c r="P59" s="120">
        <f>'DATOS REFERENCIALES'!$D$8</f>
        <v>7280</v>
      </c>
      <c r="Q59" s="122">
        <f>LOOKUP(C59,'TABLA ANTIG.'!$A$4:$A$39,'TABLA ANTIG.'!$B$4:$B$39)*(P59)</f>
        <v>0</v>
      </c>
      <c r="R59" s="133">
        <v>0</v>
      </c>
      <c r="S59" s="133">
        <f t="shared" si="24"/>
        <v>18986.376000000004</v>
      </c>
      <c r="T59" s="133">
        <f t="shared" si="25"/>
        <v>2088.5013600000007</v>
      </c>
      <c r="U59" s="133">
        <f t="shared" si="26"/>
        <v>569.5912800000001</v>
      </c>
      <c r="V59" s="133">
        <f t="shared" si="26"/>
        <v>569.5912800000001</v>
      </c>
      <c r="W59" s="133">
        <f t="shared" si="27"/>
        <v>379.72752000000008</v>
      </c>
      <c r="X59" s="133">
        <f t="shared" si="28"/>
        <v>854.38692000000015</v>
      </c>
      <c r="Y59" s="133">
        <f t="shared" si="29"/>
        <v>4461.7983600000007</v>
      </c>
      <c r="Z59" s="122">
        <f t="shared" si="30"/>
        <v>14524.577640000003</v>
      </c>
      <c r="AA59" s="233">
        <f>'DATOS REFERENCIALES'!$D$10</f>
        <v>2588</v>
      </c>
      <c r="AB59" s="122">
        <f>IF((IF(H59&gt;2240,('DATOS REFERENCIALES'!$D$9-(S59-T59-U59-V59-W59-X59+AA59)),(('DATOS REFERENCIALES'!$D$9/2240)*2240)-(K59+N59+O59+P59+Q59+R59-T59-U59-V59-W59-X59+AA59)))&lt;0,0,IF(2240&gt;2240,(('DATOS REFERENCIALES'!$D$9)-(S59-T59-U59-V59-W59-X59+AA59)),(('DATOS REFERENCIALES'!$D$9/2240)*2240)-(K59+N59+O59+P59+Q59+R59-T59-U59-V59-W59-X59+AA59)))</f>
        <v>12109.42236</v>
      </c>
      <c r="AC59" s="167">
        <f t="shared" si="31"/>
        <v>29222.000000000004</v>
      </c>
      <c r="AD59" s="572">
        <f>'DATOS REFERENCIALES'!$D$13</f>
        <v>2420</v>
      </c>
      <c r="AE59" s="305"/>
      <c r="AF59" s="167">
        <f>'DATOS REFERENCIALES'!$D$11</f>
        <v>640</v>
      </c>
      <c r="AG59" s="122">
        <f>'DATOS REFERENCIALES'!$D$12</f>
        <v>420</v>
      </c>
      <c r="AH59" s="122">
        <f t="shared" ref="AH59:AH66" si="32">SUM(AC59:AG59)</f>
        <v>32702.000000000004</v>
      </c>
      <c r="AI59" s="13"/>
      <c r="AJ59" s="13"/>
      <c r="AK59" s="13"/>
      <c r="AL59" s="18"/>
      <c r="AM59" s="19"/>
      <c r="AN59" s="19"/>
      <c r="AR59" s="8"/>
    </row>
    <row r="60" spans="1:44" s="1" customFormat="1" ht="21.75" customHeight="1" x14ac:dyDescent="0.2">
      <c r="A60" s="72">
        <v>5089</v>
      </c>
      <c r="B60" s="128" t="s">
        <v>70</v>
      </c>
      <c r="C60" s="72">
        <v>0</v>
      </c>
      <c r="D60" s="72"/>
      <c r="E60" s="72"/>
      <c r="F60" s="72"/>
      <c r="G60" s="64">
        <v>1008</v>
      </c>
      <c r="H60" s="47">
        <f t="shared" si="22"/>
        <v>1008</v>
      </c>
      <c r="I60" s="47"/>
      <c r="J60" s="47"/>
      <c r="K60" s="104">
        <f>H60*'DATOS REFERENCIALES'!$C$4</f>
        <v>5523.84</v>
      </c>
      <c r="L60" s="104"/>
      <c r="M60" s="104"/>
      <c r="N60" s="94">
        <f>LOOKUP(C60,'TABLA ANTIG.'!$A$4:$A$39,'TABLA ANTIG.'!$B$4:$B$39)*(K60)</f>
        <v>0</v>
      </c>
      <c r="O60" s="31">
        <f t="shared" si="23"/>
        <v>552.38400000000001</v>
      </c>
      <c r="P60" s="104">
        <f>'DATOS REFERENCIALES'!$C$8</f>
        <v>3640</v>
      </c>
      <c r="Q60" s="94">
        <f>LOOKUP(C60,'TABLA ANTIG.'!$A$4:$A$39,'TABLA ANTIG.'!$B$4:$B$39)*(P60)</f>
        <v>0</v>
      </c>
      <c r="R60" s="94">
        <v>0</v>
      </c>
      <c r="S60" s="31">
        <f t="shared" si="24"/>
        <v>9716.2240000000002</v>
      </c>
      <c r="T60" s="94">
        <f t="shared" si="25"/>
        <v>1068.7846400000001</v>
      </c>
      <c r="U60" s="94">
        <f t="shared" si="26"/>
        <v>291.48671999999999</v>
      </c>
      <c r="V60" s="94">
        <f t="shared" si="26"/>
        <v>291.48671999999999</v>
      </c>
      <c r="W60" s="94">
        <f t="shared" si="27"/>
        <v>194.32447999999999</v>
      </c>
      <c r="X60" s="94">
        <f t="shared" si="28"/>
        <v>437.23007999999999</v>
      </c>
      <c r="Y60" s="31">
        <f t="shared" si="29"/>
        <v>2283.3126400000001</v>
      </c>
      <c r="Z60" s="94">
        <f t="shared" si="30"/>
        <v>7432.9113600000001</v>
      </c>
      <c r="AA60" s="168">
        <f>'DATOS REFERENCIALES'!$C$10</f>
        <v>1294</v>
      </c>
      <c r="AB60" s="94">
        <f>IF((IF(H60&gt;1119,('DATOS REFERENCIALES'!$C$9-(S60-T60-U60-V60-W60-X60+AA60)),(('DATOS REFERENCIALES'!$C$9/1120)*H60)-(K60+N60+O60+P60+Q60+R60-T60-U60-V60-W60-X60+AA60)))&lt;0,0,IF(H60&gt;1119,(('DATOS REFERENCIALES'!$C$9)-(S60-T60-U60-V60-W60-X60+AA60)),(('DATOS REFERENCIALES'!$C$9/1120)*H60)-(K60+N60+O60+P60+Q60+R60-T60-U60-V60-W60-X60+AA60)))</f>
        <v>4422.9886400000014</v>
      </c>
      <c r="AC60" s="150">
        <f t="shared" si="31"/>
        <v>13149.900000000001</v>
      </c>
      <c r="AD60" s="106">
        <f>'DATOS REFERENCIALES'!$C$13</f>
        <v>1210</v>
      </c>
      <c r="AE60" s="308"/>
      <c r="AF60" s="150">
        <f>'DATOS REFERENCIALES'!$C$11</f>
        <v>320</v>
      </c>
      <c r="AG60" s="94">
        <f>'DATOS REFERENCIALES'!$C$12</f>
        <v>210</v>
      </c>
      <c r="AH60" s="94">
        <f t="shared" si="32"/>
        <v>14889.900000000001</v>
      </c>
      <c r="AI60" s="13"/>
      <c r="AJ60" s="13"/>
      <c r="AK60" s="13"/>
      <c r="AL60" s="18"/>
      <c r="AM60" s="19"/>
      <c r="AN60" s="19"/>
      <c r="AR60" s="8"/>
    </row>
    <row r="61" spans="1:44" s="1" customFormat="1" ht="21.75" customHeight="1" x14ac:dyDescent="0.2">
      <c r="A61" s="72">
        <v>5088</v>
      </c>
      <c r="B61" s="128" t="s">
        <v>71</v>
      </c>
      <c r="C61" s="72">
        <v>0</v>
      </c>
      <c r="D61" s="72"/>
      <c r="E61" s="72"/>
      <c r="F61" s="72"/>
      <c r="G61" s="64">
        <v>823</v>
      </c>
      <c r="H61" s="47">
        <f t="shared" si="22"/>
        <v>823</v>
      </c>
      <c r="I61" s="47"/>
      <c r="J61" s="47"/>
      <c r="K61" s="104">
        <f>H61*'DATOS REFERENCIALES'!$C$4</f>
        <v>4510.04</v>
      </c>
      <c r="L61" s="104"/>
      <c r="M61" s="104"/>
      <c r="N61" s="94">
        <f>LOOKUP(C61,'TABLA ANTIG.'!$A$4:$A$39,'TABLA ANTIG.'!$B$4:$B$39)*(K61)</f>
        <v>0</v>
      </c>
      <c r="O61" s="31">
        <f t="shared" si="23"/>
        <v>451.00400000000002</v>
      </c>
      <c r="P61" s="104">
        <f>'DATOS REFERENCIALES'!$C$8</f>
        <v>3640</v>
      </c>
      <c r="Q61" s="94">
        <f>LOOKUP(C61,'TABLA ANTIG.'!$A$4:$A$39,'TABLA ANTIG.'!$B$4:$B$39)*(P61)</f>
        <v>0</v>
      </c>
      <c r="R61" s="94">
        <v>0</v>
      </c>
      <c r="S61" s="31">
        <f t="shared" si="24"/>
        <v>8601.0439999999999</v>
      </c>
      <c r="T61" s="94">
        <f t="shared" si="25"/>
        <v>946.11483999999996</v>
      </c>
      <c r="U61" s="94">
        <f t="shared" si="26"/>
        <v>258.03131999999999</v>
      </c>
      <c r="V61" s="94">
        <f t="shared" si="26"/>
        <v>258.03131999999999</v>
      </c>
      <c r="W61" s="94">
        <f t="shared" si="27"/>
        <v>172.02088000000001</v>
      </c>
      <c r="X61" s="94">
        <f t="shared" si="28"/>
        <v>387.04697999999996</v>
      </c>
      <c r="Y61" s="31">
        <f t="shared" si="29"/>
        <v>2021.2453399999999</v>
      </c>
      <c r="Z61" s="94">
        <f t="shared" si="30"/>
        <v>6579.7986600000004</v>
      </c>
      <c r="AA61" s="168">
        <f>'DATOS REFERENCIALES'!$C$10</f>
        <v>1294</v>
      </c>
      <c r="AB61" s="94">
        <f>IF((IF(H61&gt;1119,('DATOS REFERENCIALES'!$C$9-(S61-T61-U61-V61-W61-X61+AA61)),(('DATOS REFERENCIALES'!$C$9/1120)*H61)-(K61+N61+O61+P61+Q61+R61-T61-U61-V61-W61-X61+AA61)))&lt;0,0,IF(H61&gt;1119,(('DATOS REFERENCIALES'!$C$9)-(S61-T61-U61-V61-W61-X61+AA61)),(('DATOS REFERENCIALES'!$C$9/1120)*H61)-(K61+N61+O61+P61+Q61+R61-T61-U61-V61-W61-X61+AA61)))</f>
        <v>2862.6772328571433</v>
      </c>
      <c r="AC61" s="150">
        <f t="shared" si="31"/>
        <v>10736.475892857143</v>
      </c>
      <c r="AD61" s="106">
        <f>'DATOS REFERENCIALES'!$C$13</f>
        <v>1210</v>
      </c>
      <c r="AE61" s="308"/>
      <c r="AF61" s="150">
        <f>'DATOS REFERENCIALES'!$C$11</f>
        <v>320</v>
      </c>
      <c r="AG61" s="94">
        <f>'DATOS REFERENCIALES'!$C$12</f>
        <v>210</v>
      </c>
      <c r="AH61" s="94">
        <f t="shared" si="32"/>
        <v>12476.475892857143</v>
      </c>
      <c r="AI61" s="13"/>
      <c r="AJ61" s="13"/>
      <c r="AK61" s="13"/>
      <c r="AL61" s="18"/>
      <c r="AM61" s="19"/>
      <c r="AN61" s="19"/>
      <c r="AR61" s="8"/>
    </row>
    <row r="62" spans="1:44" s="1" customFormat="1" ht="21.75" customHeight="1" x14ac:dyDescent="0.2">
      <c r="A62" s="72">
        <v>1504</v>
      </c>
      <c r="B62" s="186" t="s">
        <v>82</v>
      </c>
      <c r="C62" s="72">
        <v>0</v>
      </c>
      <c r="D62" s="72"/>
      <c r="E62" s="72"/>
      <c r="F62" s="72"/>
      <c r="G62" s="64">
        <v>2016</v>
      </c>
      <c r="H62" s="47">
        <f t="shared" si="22"/>
        <v>2016</v>
      </c>
      <c r="I62" s="47"/>
      <c r="J62" s="47"/>
      <c r="K62" s="104">
        <f>H62*'DATOS REFERENCIALES'!$C$4</f>
        <v>11047.68</v>
      </c>
      <c r="L62" s="104"/>
      <c r="M62" s="104"/>
      <c r="N62" s="94">
        <f>LOOKUP(C62,'TABLA ANTIG.'!$A$4:$A$39,'TABLA ANTIG.'!$B$4:$B$39)*(K62)</f>
        <v>0</v>
      </c>
      <c r="O62" s="31">
        <f t="shared" si="23"/>
        <v>1104.768</v>
      </c>
      <c r="P62" s="104">
        <f>'DATOS REFERENCIALES'!$D$8</f>
        <v>7280</v>
      </c>
      <c r="Q62" s="94">
        <f>LOOKUP(C62,'TABLA ANTIG.'!$A$4:$A$39,'TABLA ANTIG.'!$B$4:$B$39)*(P62)</f>
        <v>0</v>
      </c>
      <c r="R62" s="94">
        <v>0</v>
      </c>
      <c r="S62" s="31">
        <f t="shared" si="24"/>
        <v>19432.448</v>
      </c>
      <c r="T62" s="94">
        <f t="shared" si="25"/>
        <v>2137.5692800000002</v>
      </c>
      <c r="U62" s="94">
        <f t="shared" si="26"/>
        <v>582.97343999999998</v>
      </c>
      <c r="V62" s="94">
        <f t="shared" si="26"/>
        <v>582.97343999999998</v>
      </c>
      <c r="W62" s="94">
        <f t="shared" si="27"/>
        <v>388.64895999999999</v>
      </c>
      <c r="X62" s="94">
        <f t="shared" si="28"/>
        <v>874.46015999999997</v>
      </c>
      <c r="Y62" s="31">
        <f t="shared" si="29"/>
        <v>4566.6252800000002</v>
      </c>
      <c r="Z62" s="94">
        <f t="shared" si="30"/>
        <v>14865.82272</v>
      </c>
      <c r="AA62" s="191">
        <f>'DATOS REFERENCIALES'!D10</f>
        <v>2588</v>
      </c>
      <c r="AB62" s="94">
        <f>IF((IF(H62&gt;2240,('DATOS REFERENCIALES'!$D$9-(S62-T62-U62-V62-W62-X62+AA62)),(('DATOS REFERENCIALES'!$D$9/2240)*2240)-(K62+N62+O62+P62+Q62+R62-T62-U62-V62-W62-X62+AA62)))&lt;0,0,IF(2240&gt;2240,(('DATOS REFERENCIALES'!$D$9)-(S62-T62-U62-V62-W62-X62+AA62)),(('DATOS REFERENCIALES'!$D$9/2240)*2240)-(K62+N62+O62+P62+Q62+R62-T62-U62-V62-W62-X62+AA62)))</f>
        <v>11768.177280000004</v>
      </c>
      <c r="AC62" s="150">
        <f t="shared" si="31"/>
        <v>29222.000000000004</v>
      </c>
      <c r="AD62" s="106">
        <f>'DATOS REFERENCIALES'!$D$13</f>
        <v>2420</v>
      </c>
      <c r="AE62" s="308"/>
      <c r="AF62" s="150">
        <f>'DATOS REFERENCIALES'!$D$11</f>
        <v>640</v>
      </c>
      <c r="AG62" s="94">
        <f>'DATOS REFERENCIALES'!$D$12</f>
        <v>420</v>
      </c>
      <c r="AH62" s="94">
        <f t="shared" si="32"/>
        <v>32702.000000000004</v>
      </c>
      <c r="AI62" s="13"/>
      <c r="AJ62" s="13"/>
      <c r="AK62" s="13"/>
      <c r="AL62" s="18"/>
      <c r="AM62" s="19"/>
      <c r="AN62" s="19"/>
      <c r="AR62" s="8"/>
    </row>
    <row r="63" spans="1:44" s="1" customFormat="1" ht="21.75" customHeight="1" x14ac:dyDescent="0.2">
      <c r="A63" s="72">
        <v>1507</v>
      </c>
      <c r="B63" s="186" t="s">
        <v>58</v>
      </c>
      <c r="C63" s="72">
        <v>0</v>
      </c>
      <c r="D63" s="72">
        <v>30</v>
      </c>
      <c r="E63" s="72"/>
      <c r="F63" s="72"/>
      <c r="G63" s="64">
        <v>1680</v>
      </c>
      <c r="H63" s="47">
        <f t="shared" si="22"/>
        <v>1680</v>
      </c>
      <c r="I63" s="47"/>
      <c r="J63" s="47"/>
      <c r="K63" s="104">
        <f>H63*'DATOS REFERENCIALES'!$C$4</f>
        <v>9206.4000000000015</v>
      </c>
      <c r="L63" s="104"/>
      <c r="M63" s="104"/>
      <c r="N63" s="94">
        <f>LOOKUP(C63,'TABLA ANTIG.'!$A$4:$A$39,'TABLA ANTIG.'!$B$4:$B$39)*(K63)</f>
        <v>0</v>
      </c>
      <c r="O63" s="31">
        <f t="shared" si="23"/>
        <v>920.64000000000021</v>
      </c>
      <c r="P63" s="135">
        <f>'DATOS REFERENCIALES'!$E$8*30</f>
        <v>5747.0999999999995</v>
      </c>
      <c r="Q63" s="94">
        <f>LOOKUP(C63,'TABLA ANTIG.'!$A$4:$A$39,'TABLA ANTIG.'!$B$4:$B$39)*(P63)</f>
        <v>0</v>
      </c>
      <c r="R63" s="94">
        <v>0</v>
      </c>
      <c r="S63" s="31">
        <f t="shared" si="24"/>
        <v>15874.14</v>
      </c>
      <c r="T63" s="94">
        <f t="shared" si="25"/>
        <v>1746.1553999999999</v>
      </c>
      <c r="U63" s="94">
        <f t="shared" si="26"/>
        <v>476.22419999999994</v>
      </c>
      <c r="V63" s="94">
        <f t="shared" si="26"/>
        <v>476.22419999999994</v>
      </c>
      <c r="W63" s="94">
        <f t="shared" si="27"/>
        <v>317.4828</v>
      </c>
      <c r="X63" s="94">
        <f t="shared" si="28"/>
        <v>714.33629999999994</v>
      </c>
      <c r="Y63" s="31">
        <f t="shared" si="29"/>
        <v>3730.4228999999996</v>
      </c>
      <c r="Z63" s="94">
        <f t="shared" si="30"/>
        <v>12143.7171</v>
      </c>
      <c r="AA63" s="191">
        <f>'DATOS REFERENCIALES'!$E$10*30</f>
        <v>2043.15</v>
      </c>
      <c r="AB63" s="94">
        <f>IF((IF(H63&gt;1119,('DATOS REFERENCIALES'!$C$9-(S63-T63-U63-V63-W63-X63+AA63)),('DATOS REFERENCIALES'!$C$9/20*D63)-(K63+N63+O63+P63+Q63+R63-T63-U63-V63-W63-X63+AA63)))&lt;0,0,IF(H63&gt;1119,(('DATOS REFERENCIALES'!$C$9/20*D63)-(S63-T63-U63-V63-W63-X63+AA63)),('DATOS REFERENCIALES'!$C$9/20*D63)-(K63+N63+O63+P63+Q63+R63-T63-U63-V63-W63-X63+AA63)))</f>
        <v>7729.6329000000023</v>
      </c>
      <c r="AC63" s="150">
        <f t="shared" si="31"/>
        <v>21916.5</v>
      </c>
      <c r="AD63" s="106">
        <f>'DATOS REFERENCIALES'!$D$13</f>
        <v>2420</v>
      </c>
      <c r="AE63" s="308"/>
      <c r="AF63" s="150">
        <f>'DATOS REFERENCIALES'!$D$11</f>
        <v>640</v>
      </c>
      <c r="AG63" s="94">
        <f>'DATOS REFERENCIALES'!$D$12</f>
        <v>420</v>
      </c>
      <c r="AH63" s="94">
        <f t="shared" si="32"/>
        <v>25396.5</v>
      </c>
      <c r="AI63" s="13"/>
      <c r="AJ63" s="13"/>
      <c r="AK63" s="13"/>
      <c r="AL63" s="18"/>
      <c r="AM63" s="19"/>
      <c r="AN63" s="19"/>
      <c r="AR63" s="8"/>
    </row>
    <row r="64" spans="1:44" s="1" customFormat="1" ht="21.75" customHeight="1" x14ac:dyDescent="0.2">
      <c r="A64" s="72">
        <v>1528</v>
      </c>
      <c r="B64" s="186" t="s">
        <v>59</v>
      </c>
      <c r="C64" s="72">
        <v>0</v>
      </c>
      <c r="D64" s="72">
        <v>24</v>
      </c>
      <c r="E64" s="72"/>
      <c r="F64" s="72"/>
      <c r="G64" s="64">
        <v>1344</v>
      </c>
      <c r="H64" s="47">
        <f t="shared" si="22"/>
        <v>1344</v>
      </c>
      <c r="I64" s="47"/>
      <c r="J64" s="47"/>
      <c r="K64" s="104">
        <f>H64*'DATOS REFERENCIALES'!$C$4</f>
        <v>7365.1200000000008</v>
      </c>
      <c r="L64" s="104"/>
      <c r="M64" s="104"/>
      <c r="N64" s="94">
        <f>LOOKUP(C64,'TABLA ANTIG.'!$A$4:$A$39,'TABLA ANTIG.'!$B$4:$B$39)*(K64)</f>
        <v>0</v>
      </c>
      <c r="O64" s="31">
        <f t="shared" si="23"/>
        <v>736.51200000000017</v>
      </c>
      <c r="P64" s="135">
        <f>'DATOS REFERENCIALES'!$E$8*24</f>
        <v>4597.68</v>
      </c>
      <c r="Q64" s="94">
        <f>LOOKUP(C64,'TABLA ANTIG.'!$A$4:$A$39,'TABLA ANTIG.'!$B$4:$B$39)*(P64)</f>
        <v>0</v>
      </c>
      <c r="R64" s="94">
        <v>0</v>
      </c>
      <c r="S64" s="31">
        <f t="shared" si="24"/>
        <v>12699.312000000002</v>
      </c>
      <c r="T64" s="94">
        <f t="shared" si="25"/>
        <v>1396.9243200000003</v>
      </c>
      <c r="U64" s="94">
        <f t="shared" si="26"/>
        <v>380.97936000000004</v>
      </c>
      <c r="V64" s="94">
        <f t="shared" si="26"/>
        <v>380.97936000000004</v>
      </c>
      <c r="W64" s="94">
        <f t="shared" si="27"/>
        <v>253.98624000000004</v>
      </c>
      <c r="X64" s="94">
        <f t="shared" si="28"/>
        <v>571.46904000000006</v>
      </c>
      <c r="Y64" s="31">
        <f t="shared" si="29"/>
        <v>2984.3383200000007</v>
      </c>
      <c r="Z64" s="94">
        <f t="shared" si="30"/>
        <v>9714.973680000001</v>
      </c>
      <c r="AA64" s="191">
        <f>'DATOS REFERENCIALES'!$E$10*24</f>
        <v>1634.52</v>
      </c>
      <c r="AB64" s="94">
        <f>IF((IF(H64&gt;1119,('DATOS REFERENCIALES'!$C$9-(S64-T64-U64-V64-W64-X64+AA64)),('DATOS REFERENCIALES'!$C$9/20*D64)-(K64+N64+O64+P64+Q64+R64-T64-U64-V64-W64-X64+AA64)))&lt;0,0,IF(H64&gt;1119,(('DATOS REFERENCIALES'!$C$9/20*D64)-(S64-T64-U64-V64-W64-X64+AA64)),('DATOS REFERENCIALES'!$C$9/20*D64)-(K64+N64+O64+P64+Q64+R64-T64-U64-V64-W64+AA64)))</f>
        <v>6183.7063199999939</v>
      </c>
      <c r="AC64" s="150">
        <f t="shared" si="31"/>
        <v>17533.199999999997</v>
      </c>
      <c r="AD64" s="106">
        <f>'DATOS REFERENCIALES'!E13*24</f>
        <v>1935.9998399999999</v>
      </c>
      <c r="AE64" s="308"/>
      <c r="AF64" s="174">
        <f>IF(D64&gt;'DATOS REFERENCIALES'!$I$11,'DATOS REFERENCIALES'!$D$11,'DATOS REFERENCIALES'!$E$11*D64)</f>
        <v>512.16</v>
      </c>
      <c r="AG64" s="175">
        <f>IF(D64&gt;'DATOS REFERENCIALES'!$I$12,'DATOS REFERENCIALES'!$D$12,'DATOS REFERENCIALES'!$E$12*D64)</f>
        <v>336</v>
      </c>
      <c r="AH64" s="94">
        <f t="shared" si="32"/>
        <v>20317.359839999997</v>
      </c>
      <c r="AI64" s="13"/>
      <c r="AJ64" s="13"/>
      <c r="AK64" s="13"/>
      <c r="AL64" s="18"/>
      <c r="AM64" s="19"/>
      <c r="AN64" s="19"/>
      <c r="AR64" s="8"/>
    </row>
    <row r="65" spans="1:44" s="1" customFormat="1" ht="21.75" customHeight="1" x14ac:dyDescent="0.2">
      <c r="A65" s="72">
        <v>1549</v>
      </c>
      <c r="B65" s="186" t="s">
        <v>60</v>
      </c>
      <c r="C65" s="72">
        <v>0</v>
      </c>
      <c r="D65" s="72">
        <v>18</v>
      </c>
      <c r="E65" s="72"/>
      <c r="F65" s="72"/>
      <c r="G65" s="64">
        <v>1008</v>
      </c>
      <c r="H65" s="47">
        <f t="shared" si="22"/>
        <v>1008</v>
      </c>
      <c r="I65" s="47"/>
      <c r="J65" s="47"/>
      <c r="K65" s="104">
        <f>H65*'DATOS REFERENCIALES'!$C$4</f>
        <v>5523.84</v>
      </c>
      <c r="L65" s="104"/>
      <c r="M65" s="104"/>
      <c r="N65" s="94">
        <f>LOOKUP(C65,'TABLA ANTIG.'!$A$4:$A$39,'TABLA ANTIG.'!$B$4:$B$39)*(K65)</f>
        <v>0</v>
      </c>
      <c r="O65" s="31">
        <f t="shared" si="23"/>
        <v>552.38400000000001</v>
      </c>
      <c r="P65" s="135">
        <f>'DATOS REFERENCIALES'!$E$8*18</f>
        <v>3448.2599999999998</v>
      </c>
      <c r="Q65" s="94">
        <f>LOOKUP(C65,'TABLA ANTIG.'!$A$4:$A$39,'TABLA ANTIG.'!$B$4:$B$39)*(P65)</f>
        <v>0</v>
      </c>
      <c r="R65" s="94">
        <v>0</v>
      </c>
      <c r="S65" s="31">
        <f t="shared" si="24"/>
        <v>9524.4840000000004</v>
      </c>
      <c r="T65" s="94">
        <f t="shared" si="25"/>
        <v>1047.6932400000001</v>
      </c>
      <c r="U65" s="94">
        <f t="shared" si="26"/>
        <v>285.73451999999997</v>
      </c>
      <c r="V65" s="94">
        <f t="shared" si="26"/>
        <v>285.73451999999997</v>
      </c>
      <c r="W65" s="94">
        <f t="shared" si="27"/>
        <v>190.48968000000002</v>
      </c>
      <c r="X65" s="94">
        <f t="shared" si="28"/>
        <v>428.60178000000002</v>
      </c>
      <c r="Y65" s="31">
        <f t="shared" si="29"/>
        <v>2238.2537400000001</v>
      </c>
      <c r="Z65" s="94">
        <f t="shared" si="30"/>
        <v>7286.2302600000003</v>
      </c>
      <c r="AA65" s="191">
        <f>'DATOS REFERENCIALES'!$E$10*18</f>
        <v>1225.8900000000001</v>
      </c>
      <c r="AB65" s="94">
        <f>IF((IF(H65&gt;1119,('DATOS REFERENCIALES'!$C$9-(S65-T65-U65-V65-W65-X65+AA65)),('DATOS REFERENCIALES'!$C$9/20*D65)-(K65+N65+O65+P65+Q65+R65-T65-U65-V65-W65-X65+AA65)))&lt;0,0,IF(H65&gt;1119,(('DATOS REFERENCIALES'!$C$9/20*D65)-(S65-T65-U65-V65-W65-X65+AA65)),('DATOS REFERENCIALES'!$C$9/20*D65)-(K65+N65+O65+P65+Q65+R65-T65-U65-V65-W65-X65+AA65)))</f>
        <v>4637.7797399999999</v>
      </c>
      <c r="AC65" s="150">
        <f t="shared" si="31"/>
        <v>13149.9</v>
      </c>
      <c r="AD65" s="106">
        <f>'DATOS REFERENCIALES'!E13*18</f>
        <v>1451.9998799999998</v>
      </c>
      <c r="AE65" s="308"/>
      <c r="AF65" s="150">
        <f>IF(D65&gt;'DATOS REFERENCIALES'!$I$11,'DATOS REFERENCIALES'!$D$11,'DATOS REFERENCIALES'!$E$11*D65)</f>
        <v>384.12</v>
      </c>
      <c r="AG65" s="94">
        <f>IF(D65&gt;'DATOS REFERENCIALES'!$I$12,'DATOS REFERENCIALES'!$D$12,'DATOS REFERENCIALES'!$E$12*D65)</f>
        <v>252</v>
      </c>
      <c r="AH65" s="94">
        <f t="shared" si="32"/>
        <v>15238.01988</v>
      </c>
      <c r="AI65" s="13"/>
      <c r="AJ65" s="13"/>
      <c r="AK65" s="13"/>
      <c r="AL65" s="18"/>
      <c r="AM65" s="19"/>
      <c r="AN65" s="19"/>
      <c r="AR65" s="8"/>
    </row>
    <row r="66" spans="1:44" s="1" customFormat="1" ht="21.75" customHeight="1" thickBot="1" x14ac:dyDescent="0.25">
      <c r="A66" s="73">
        <v>1550</v>
      </c>
      <c r="B66" s="187" t="s">
        <v>61</v>
      </c>
      <c r="C66" s="73">
        <v>0</v>
      </c>
      <c r="D66" s="73">
        <v>12</v>
      </c>
      <c r="E66" s="73"/>
      <c r="F66" s="73"/>
      <c r="G66" s="65">
        <v>672</v>
      </c>
      <c r="H66" s="69">
        <f t="shared" si="22"/>
        <v>672</v>
      </c>
      <c r="I66" s="69"/>
      <c r="J66" s="69"/>
      <c r="K66" s="105">
        <f>H66*'DATOS REFERENCIALES'!$C$4</f>
        <v>3682.5600000000004</v>
      </c>
      <c r="L66" s="105"/>
      <c r="M66" s="105"/>
      <c r="N66" s="95">
        <f>LOOKUP(C66,'TABLA ANTIG.'!$A$4:$A$39,'TABLA ANTIG.'!$B$4:$B$39)*(K66)</f>
        <v>0</v>
      </c>
      <c r="O66" s="35">
        <f t="shared" si="23"/>
        <v>368.25600000000009</v>
      </c>
      <c r="P66" s="136">
        <f>'DATOS REFERENCIALES'!$E$8*12</f>
        <v>2298.84</v>
      </c>
      <c r="Q66" s="95">
        <f>LOOKUP(C66,'TABLA ANTIG.'!$A$4:$A$39,'TABLA ANTIG.'!$B$4:$B$39)*(P66)</f>
        <v>0</v>
      </c>
      <c r="R66" s="95">
        <v>0</v>
      </c>
      <c r="S66" s="35">
        <f t="shared" si="24"/>
        <v>6349.6560000000009</v>
      </c>
      <c r="T66" s="95">
        <f t="shared" si="25"/>
        <v>698.46216000000015</v>
      </c>
      <c r="U66" s="95">
        <f t="shared" si="26"/>
        <v>190.48968000000002</v>
      </c>
      <c r="V66" s="95">
        <f t="shared" si="26"/>
        <v>190.48968000000002</v>
      </c>
      <c r="W66" s="95">
        <f t="shared" si="27"/>
        <v>126.99312000000002</v>
      </c>
      <c r="X66" s="95">
        <f t="shared" si="28"/>
        <v>285.73452000000003</v>
      </c>
      <c r="Y66" s="35">
        <f t="shared" si="29"/>
        <v>1492.1691600000004</v>
      </c>
      <c r="Z66" s="95">
        <f t="shared" si="30"/>
        <v>4857.4868400000005</v>
      </c>
      <c r="AA66" s="193">
        <f>'DATOS REFERENCIALES'!$E$10*12</f>
        <v>817.26</v>
      </c>
      <c r="AB66" s="95">
        <f>IF((IF(H66&gt;1119,('DATOS REFERENCIALES'!$C$9-(S66-T66-U66-V66-W66-X66+AA66)),('DATOS REFERENCIALES'!$C$9/20*D66)-(K66+N66+O66+P66+Q66+R66-T66-U66-V66-W66-X66+AA66)))&lt;0,0,IF(H66&gt;1119,(('DATOS REFERENCIALES'!$C$9/20*D66)-(S66-T66-U66-V66-W66-X66+AA66)),('DATOS REFERENCIALES'!$C$9/20*D66)-(K66+N66+O66+P66+Q66+R66-T66-U66-V66-W66-X66+AA66)))</f>
        <v>3091.8531599999969</v>
      </c>
      <c r="AC66" s="151">
        <f t="shared" si="31"/>
        <v>8766.5999999999985</v>
      </c>
      <c r="AD66" s="107">
        <f>'DATOS REFERENCIALES'!E13*12</f>
        <v>967.99991999999997</v>
      </c>
      <c r="AE66" s="306"/>
      <c r="AF66" s="151">
        <f>IF(D66&gt;'DATOS REFERENCIALES'!$I$11,'DATOS REFERENCIALES'!$D$11,'DATOS REFERENCIALES'!$E$11*D66)</f>
        <v>256.08</v>
      </c>
      <c r="AG66" s="95">
        <f>IF(D66&gt;'DATOS REFERENCIALES'!$I$12,'DATOS REFERENCIALES'!$D$12,'DATOS REFERENCIALES'!$E$12*D66)</f>
        <v>168</v>
      </c>
      <c r="AH66" s="95">
        <f t="shared" si="32"/>
        <v>10158.679919999999</v>
      </c>
      <c r="AI66" s="13"/>
      <c r="AJ66" s="13"/>
      <c r="AK66" s="13"/>
      <c r="AL66" s="18"/>
      <c r="AM66" s="19"/>
      <c r="AN66" s="19"/>
      <c r="AR66" s="8"/>
    </row>
    <row r="67" spans="1:44" s="1" customFormat="1" ht="21.75" customHeight="1" thickBot="1" x14ac:dyDescent="0.25">
      <c r="A67" s="143"/>
      <c r="B67" s="144"/>
      <c r="C67" s="145"/>
      <c r="D67" s="145"/>
      <c r="E67" s="145"/>
      <c r="F67" s="145"/>
      <c r="G67" s="80"/>
      <c r="H67" s="56"/>
      <c r="I67" s="56"/>
      <c r="J67" s="56"/>
      <c r="K67" s="53"/>
      <c r="L67" s="53"/>
      <c r="M67" s="53"/>
      <c r="N67" s="54"/>
      <c r="O67" s="87"/>
      <c r="P67" s="148"/>
      <c r="Q67" s="54"/>
      <c r="R67" s="146"/>
      <c r="S67" s="87"/>
      <c r="T67" s="146"/>
      <c r="U67" s="146"/>
      <c r="V67" s="146"/>
      <c r="W67" s="54"/>
      <c r="X67" s="54"/>
      <c r="Y67" s="87"/>
      <c r="Z67" s="57"/>
      <c r="AA67" s="149"/>
      <c r="AB67" s="57"/>
      <c r="AC67" s="57"/>
      <c r="AD67" s="59"/>
      <c r="AE67" s="59"/>
      <c r="AF67" s="57"/>
      <c r="AG67" s="57"/>
      <c r="AH67" s="57"/>
      <c r="AI67" s="13"/>
      <c r="AJ67" s="13"/>
      <c r="AK67" s="13"/>
      <c r="AL67" s="18"/>
      <c r="AM67" s="19"/>
      <c r="AN67" s="19"/>
      <c r="AR67" s="8"/>
    </row>
    <row r="68" spans="1:44" s="1" customFormat="1" ht="21" thickBot="1" x14ac:dyDescent="0.35">
      <c r="A68" s="109" t="s">
        <v>142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09" t="s">
        <v>142</v>
      </c>
      <c r="AE68" s="110"/>
      <c r="AF68" s="110"/>
      <c r="AG68" s="110"/>
      <c r="AH68" s="110"/>
      <c r="AI68" s="13"/>
      <c r="AJ68" s="13"/>
      <c r="AK68" s="13"/>
      <c r="AL68" s="18"/>
      <c r="AM68" s="19"/>
      <c r="AN68" s="19"/>
    </row>
    <row r="69" spans="1:44" s="2" customFormat="1" ht="12.75" customHeight="1" thickBot="1" x14ac:dyDescent="0.25">
      <c r="A69" s="623" t="s">
        <v>1</v>
      </c>
      <c r="B69" s="623" t="s">
        <v>0</v>
      </c>
      <c r="C69" s="585" t="s">
        <v>83</v>
      </c>
      <c r="D69" s="585" t="s">
        <v>126</v>
      </c>
      <c r="E69" s="585" t="s">
        <v>134</v>
      </c>
      <c r="F69" s="585" t="s">
        <v>120</v>
      </c>
      <c r="G69" s="585" t="s">
        <v>109</v>
      </c>
      <c r="H69" s="585" t="s">
        <v>85</v>
      </c>
      <c r="I69" s="585" t="s">
        <v>156</v>
      </c>
      <c r="J69" s="602" t="s">
        <v>155</v>
      </c>
      <c r="K69" s="602" t="s">
        <v>128</v>
      </c>
      <c r="L69" s="602" t="s">
        <v>154</v>
      </c>
      <c r="M69" s="602" t="s">
        <v>155</v>
      </c>
      <c r="N69" s="646" t="s">
        <v>91</v>
      </c>
      <c r="O69" s="596" t="s">
        <v>127</v>
      </c>
      <c r="P69" s="611" t="s">
        <v>92</v>
      </c>
      <c r="Q69" s="596" t="s">
        <v>108</v>
      </c>
      <c r="R69" s="596" t="s">
        <v>90</v>
      </c>
      <c r="S69" s="596" t="s">
        <v>74</v>
      </c>
      <c r="T69" s="615" t="s">
        <v>63</v>
      </c>
      <c r="U69" s="615"/>
      <c r="V69" s="615"/>
      <c r="W69" s="615"/>
      <c r="X69" s="615"/>
      <c r="Y69" s="585" t="s">
        <v>73</v>
      </c>
      <c r="Z69" s="585" t="s">
        <v>95</v>
      </c>
      <c r="AA69" s="585" t="s">
        <v>94</v>
      </c>
      <c r="AB69" s="585" t="s">
        <v>93</v>
      </c>
      <c r="AC69" s="585" t="s">
        <v>97</v>
      </c>
      <c r="AD69" s="585" t="s">
        <v>96</v>
      </c>
      <c r="AE69" s="585" t="s">
        <v>182</v>
      </c>
      <c r="AF69" s="585" t="s">
        <v>107</v>
      </c>
      <c r="AG69" s="618" t="s">
        <v>153</v>
      </c>
      <c r="AH69" s="585" t="s">
        <v>98</v>
      </c>
      <c r="AI69" s="17"/>
      <c r="AJ69" s="17"/>
      <c r="AK69" s="17"/>
      <c r="AL69" s="18"/>
      <c r="AM69" s="19"/>
      <c r="AN69" s="19"/>
    </row>
    <row r="70" spans="1:44" s="2" customFormat="1" ht="92.25" customHeight="1" thickBot="1" x14ac:dyDescent="0.25">
      <c r="A70" s="645"/>
      <c r="B70" s="645"/>
      <c r="C70" s="626"/>
      <c r="D70" s="626"/>
      <c r="E70" s="626"/>
      <c r="F70" s="626"/>
      <c r="G70" s="626"/>
      <c r="H70" s="626"/>
      <c r="I70" s="586"/>
      <c r="J70" s="603"/>
      <c r="K70" s="648"/>
      <c r="L70" s="648"/>
      <c r="M70" s="648"/>
      <c r="N70" s="647"/>
      <c r="O70" s="629"/>
      <c r="P70" s="650"/>
      <c r="Q70" s="629"/>
      <c r="R70" s="629"/>
      <c r="S70" s="629"/>
      <c r="T70" s="112" t="s">
        <v>148</v>
      </c>
      <c r="U70" s="112" t="s">
        <v>65</v>
      </c>
      <c r="V70" s="112" t="s">
        <v>66</v>
      </c>
      <c r="W70" s="112" t="s">
        <v>67</v>
      </c>
      <c r="X70" s="112" t="s">
        <v>68</v>
      </c>
      <c r="Y70" s="626"/>
      <c r="Z70" s="626"/>
      <c r="AA70" s="626"/>
      <c r="AB70" s="626"/>
      <c r="AC70" s="626"/>
      <c r="AD70" s="626"/>
      <c r="AE70" s="586"/>
      <c r="AF70" s="626"/>
      <c r="AG70" s="586"/>
      <c r="AH70" s="626"/>
      <c r="AI70" s="17"/>
      <c r="AJ70" s="17"/>
      <c r="AK70" s="17"/>
      <c r="AL70" s="18"/>
      <c r="AM70" s="19"/>
      <c r="AN70" s="19"/>
    </row>
    <row r="71" spans="1:44" s="1" customFormat="1" ht="21.75" customHeight="1" thickBot="1" x14ac:dyDescent="0.25">
      <c r="A71" s="121">
        <v>5596</v>
      </c>
      <c r="B71" s="39" t="s">
        <v>24</v>
      </c>
      <c r="C71" s="40">
        <v>0</v>
      </c>
      <c r="D71" s="40"/>
      <c r="E71" s="40"/>
      <c r="F71" s="40"/>
      <c r="G71" s="41">
        <v>1509</v>
      </c>
      <c r="H71" s="71">
        <f>SUM(G71:G71)</f>
        <v>1509</v>
      </c>
      <c r="I71" s="212"/>
      <c r="J71" s="212"/>
      <c r="K71" s="126">
        <f>H71*'DATOS REFERENCIALES'!$C$4</f>
        <v>8269.3200000000015</v>
      </c>
      <c r="L71" s="126"/>
      <c r="M71" s="126"/>
      <c r="N71" s="127">
        <f>LOOKUP(C71,'TABLA ANTIG.'!$A$4:$A$39,'TABLA ANTIG.'!$B$4:$B$39)*(K71)</f>
        <v>0</v>
      </c>
      <c r="O71" s="32">
        <f>K71*0.1</f>
        <v>826.93200000000024</v>
      </c>
      <c r="P71" s="126">
        <f>'DATOS REFERENCIALES'!$C$8</f>
        <v>3640</v>
      </c>
      <c r="Q71" s="127">
        <f>LOOKUP(C71,'TABLA ANTIG.'!$A$4:$A$39,'TABLA ANTIG.'!$B$4:$B$39)*(P71)</f>
        <v>0</v>
      </c>
      <c r="R71" s="32">
        <v>0</v>
      </c>
      <c r="S71" s="32">
        <f>K71+N71+O71+P71+Q71+R71</f>
        <v>12736.252000000002</v>
      </c>
      <c r="T71" s="33">
        <f>$S71*11%</f>
        <v>1400.9877200000003</v>
      </c>
      <c r="U71" s="32">
        <f>$S71*3%</f>
        <v>382.08756000000005</v>
      </c>
      <c r="V71" s="32">
        <f>$S71*3%</f>
        <v>382.08756000000005</v>
      </c>
      <c r="W71" s="32">
        <f>$S71*2%</f>
        <v>254.72504000000006</v>
      </c>
      <c r="X71" s="34">
        <f>$S71*4.5%</f>
        <v>573.13134000000002</v>
      </c>
      <c r="Y71" s="33">
        <f>SUM(T71:X71)</f>
        <v>2993.0192200000006</v>
      </c>
      <c r="Z71" s="123">
        <f>S71-Y71</f>
        <v>9743.2327800000021</v>
      </c>
      <c r="AA71" s="124">
        <f>'DATOS REFERENCIALES'!$C$10</f>
        <v>1294</v>
      </c>
      <c r="AB71" s="124">
        <f>IF((IF(H71&gt;1119,('DATOS REFERENCIALES'!$C$9-(S71-T71-U71-V71-W71-X71+AA71)),(('DATOS REFERENCIALES'!$C$9/1120)*H71)-(K71+N71+O71+P71+Q71+R71-T71-U71-V71-W71-X71+AA71)))&lt;0,0,IF(H71&gt;1119,(('DATOS REFERENCIALES'!$C$9)-(S71-T71-U71-V71-W71-X71+AA71)),(('DATOS REFERENCIALES'!$C$9/1120)*H71)-(K71+N71+O71+P71+Q71+R71-T71-U71-V71-W71-X71+AA71)))</f>
        <v>3573.7672199999979</v>
      </c>
      <c r="AC71" s="124">
        <f>SUM(Z71:AB71)</f>
        <v>14611</v>
      </c>
      <c r="AD71" s="125">
        <f>'DATOS REFERENCIALES'!$C$13</f>
        <v>1210</v>
      </c>
      <c r="AE71" s="125"/>
      <c r="AF71" s="124">
        <f>'DATOS REFERENCIALES'!$C$11</f>
        <v>320</v>
      </c>
      <c r="AG71" s="124">
        <f>'DATOS REFERENCIALES'!$C$12</f>
        <v>210</v>
      </c>
      <c r="AH71" s="124">
        <f>SUM(AC71:AG71)</f>
        <v>16351</v>
      </c>
      <c r="AI71" s="13"/>
      <c r="AJ71" s="13"/>
      <c r="AK71" s="13"/>
      <c r="AL71" s="18"/>
      <c r="AM71" s="19"/>
      <c r="AN71" s="19"/>
      <c r="AR71" s="8"/>
    </row>
  </sheetData>
  <mergeCells count="132">
    <mergeCell ref="A6:AH6"/>
    <mergeCell ref="K3:Z5"/>
    <mergeCell ref="A7:AD7"/>
    <mergeCell ref="H9:H10"/>
    <mergeCell ref="AA9:AA10"/>
    <mergeCell ref="A8:AH8"/>
    <mergeCell ref="AH9:AH10"/>
    <mergeCell ref="A9:A10"/>
    <mergeCell ref="AH32:AH33"/>
    <mergeCell ref="AA32:AA33"/>
    <mergeCell ref="Z9:Z10"/>
    <mergeCell ref="R9:R10"/>
    <mergeCell ref="Q9:Q10"/>
    <mergeCell ref="S9:S10"/>
    <mergeCell ref="G9:G10"/>
    <mergeCell ref="T9:X9"/>
    <mergeCell ref="P9:P10"/>
    <mergeCell ref="F9:F10"/>
    <mergeCell ref="M9:M10"/>
    <mergeCell ref="I9:I10"/>
    <mergeCell ref="A32:A33"/>
    <mergeCell ref="AC32:AC33"/>
    <mergeCell ref="AB32:AB33"/>
    <mergeCell ref="B32:B33"/>
    <mergeCell ref="AB9:AB10"/>
    <mergeCell ref="AC9:AC10"/>
    <mergeCell ref="AC31:AH31"/>
    <mergeCell ref="AD9:AD10"/>
    <mergeCell ref="Z32:Z33"/>
    <mergeCell ref="AD69:AD70"/>
    <mergeCell ref="AF32:AF33"/>
    <mergeCell ref="AF53:AF54"/>
    <mergeCell ref="AC53:AC54"/>
    <mergeCell ref="AD53:AD54"/>
    <mergeCell ref="AE9:AE10"/>
    <mergeCell ref="AE32:AE33"/>
    <mergeCell ref="AE53:AE54"/>
    <mergeCell ref="AE69:AE70"/>
    <mergeCell ref="AB53:AB54"/>
    <mergeCell ref="AH12:AH13"/>
    <mergeCell ref="AH14:AH15"/>
    <mergeCell ref="AF9:AF10"/>
    <mergeCell ref="Z53:Z54"/>
    <mergeCell ref="AG9:AG10"/>
    <mergeCell ref="AG32:AG33"/>
    <mergeCell ref="AG69:AG70"/>
    <mergeCell ref="Y69:Y70"/>
    <mergeCell ref="AA53:AA54"/>
    <mergeCell ref="AB69:AB70"/>
    <mergeCell ref="AD32:AD33"/>
    <mergeCell ref="AC69:AC70"/>
    <mergeCell ref="AA69:AA70"/>
    <mergeCell ref="Y32:Y33"/>
    <mergeCell ref="AH69:AH70"/>
    <mergeCell ref="AF69:AF70"/>
    <mergeCell ref="Z69:Z70"/>
    <mergeCell ref="AH34:AH35"/>
    <mergeCell ref="AH36:AH37"/>
    <mergeCell ref="AH38:AH39"/>
    <mergeCell ref="AH55:AH56"/>
    <mergeCell ref="AH57:AH58"/>
    <mergeCell ref="Y53:Y54"/>
    <mergeCell ref="P69:P70"/>
    <mergeCell ref="Q69:Q70"/>
    <mergeCell ref="E69:E70"/>
    <mergeCell ref="O69:O70"/>
    <mergeCell ref="T69:X69"/>
    <mergeCell ref="S69:S70"/>
    <mergeCell ref="R53:R54"/>
    <mergeCell ref="R69:R70"/>
    <mergeCell ref="C9:C10"/>
    <mergeCell ref="Q32:Q33"/>
    <mergeCell ref="S32:S33"/>
    <mergeCell ref="T32:X32"/>
    <mergeCell ref="R32:R33"/>
    <mergeCell ref="D32:D33"/>
    <mergeCell ref="E32:E33"/>
    <mergeCell ref="G32:G33"/>
    <mergeCell ref="H32:H33"/>
    <mergeCell ref="I32:I33"/>
    <mergeCell ref="J32:J33"/>
    <mergeCell ref="L32:L33"/>
    <mergeCell ref="O53:O54"/>
    <mergeCell ref="Q53:Q54"/>
    <mergeCell ref="P53:P54"/>
    <mergeCell ref="T53:X53"/>
    <mergeCell ref="J53:J54"/>
    <mergeCell ref="L53:L54"/>
    <mergeCell ref="B53:B54"/>
    <mergeCell ref="Y9:Y10"/>
    <mergeCell ref="O9:O10"/>
    <mergeCell ref="E9:E10"/>
    <mergeCell ref="P32:P33"/>
    <mergeCell ref="O32:O33"/>
    <mergeCell ref="N9:N10"/>
    <mergeCell ref="K9:K10"/>
    <mergeCell ref="L9:L10"/>
    <mergeCell ref="J9:J10"/>
    <mergeCell ref="B9:B10"/>
    <mergeCell ref="M32:M33"/>
    <mergeCell ref="F53:F54"/>
    <mergeCell ref="D9:D10"/>
    <mergeCell ref="N53:N54"/>
    <mergeCell ref="C32:C33"/>
    <mergeCell ref="F32:F33"/>
    <mergeCell ref="N32:N33"/>
    <mergeCell ref="K32:K33"/>
    <mergeCell ref="D53:D54"/>
    <mergeCell ref="S53:S54"/>
    <mergeCell ref="AH53:AH54"/>
    <mergeCell ref="AG53:AG54"/>
    <mergeCell ref="A69:A70"/>
    <mergeCell ref="G69:G70"/>
    <mergeCell ref="H69:H70"/>
    <mergeCell ref="N69:N70"/>
    <mergeCell ref="F69:F70"/>
    <mergeCell ref="K69:K70"/>
    <mergeCell ref="A53:A54"/>
    <mergeCell ref="C69:C70"/>
    <mergeCell ref="D69:D70"/>
    <mergeCell ref="B69:B70"/>
    <mergeCell ref="G53:G54"/>
    <mergeCell ref="H53:H54"/>
    <mergeCell ref="K53:K54"/>
    <mergeCell ref="M53:M54"/>
    <mergeCell ref="C53:C54"/>
    <mergeCell ref="E53:E54"/>
    <mergeCell ref="I69:I70"/>
    <mergeCell ref="J69:J70"/>
    <mergeCell ref="L69:L70"/>
    <mergeCell ref="M69:M70"/>
    <mergeCell ref="I53:I54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'DATOS REFERENCIALES'!$C$28:$C$35</xm:f>
          </x14:formula1>
          <xm:sqref>J13 J35 J56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5"/>
  <sheetViews>
    <sheetView zoomScale="66" zoomScaleNormal="66" workbookViewId="0">
      <selection activeCell="B9" sqref="B9:B10"/>
    </sheetView>
  </sheetViews>
  <sheetFormatPr baseColWidth="10" defaultRowHeight="12.75" x14ac:dyDescent="0.2"/>
  <cols>
    <col min="2" max="2" width="57.140625" bestFit="1" customWidth="1"/>
    <col min="5" max="5" width="12.7109375" hidden="1" customWidth="1"/>
    <col min="6" max="7" width="0" hidden="1" customWidth="1"/>
    <col min="8" max="8" width="11.42578125" customWidth="1"/>
    <col min="9" max="10" width="14" customWidth="1"/>
    <col min="11" max="13" width="14.7109375" customWidth="1"/>
    <col min="14" max="14" width="17" customWidth="1"/>
    <col min="15" max="15" width="18.5703125" customWidth="1"/>
    <col min="16" max="16" width="14.42578125" customWidth="1"/>
    <col min="17" max="17" width="17" customWidth="1"/>
    <col min="18" max="18" width="0" hidden="1" customWidth="1"/>
    <col min="19" max="19" width="15.28515625" customWidth="1"/>
    <col min="20" max="20" width="14.5703125" customWidth="1"/>
    <col min="24" max="24" width="13.140625" customWidth="1"/>
    <col min="25" max="25" width="14.140625" customWidth="1"/>
    <col min="26" max="26" width="16.7109375" customWidth="1"/>
    <col min="27" max="27" width="13.5703125" customWidth="1"/>
    <col min="28" max="28" width="15.140625" customWidth="1"/>
    <col min="29" max="30" width="14.85546875" bestFit="1" customWidth="1"/>
    <col min="31" max="31" width="15" hidden="1" customWidth="1"/>
    <col min="32" max="32" width="15" bestFit="1" customWidth="1"/>
    <col min="33" max="33" width="15" customWidth="1"/>
    <col min="34" max="34" width="14.85546875" bestFit="1" customWidth="1"/>
  </cols>
  <sheetData>
    <row r="1" spans="1:44" s="1" customFormat="1" x14ac:dyDescent="0.2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44" s="1" customFormat="1" x14ac:dyDescent="0.2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44" s="1" customFormat="1" ht="12.75" customHeight="1" x14ac:dyDescent="0.2">
      <c r="A3" s="10"/>
      <c r="C3" s="13"/>
      <c r="D3" s="13"/>
      <c r="E3" s="13"/>
      <c r="F3" s="13"/>
      <c r="G3" s="13"/>
      <c r="H3" s="13"/>
      <c r="I3" s="13"/>
      <c r="J3" s="13"/>
      <c r="K3" s="587" t="s">
        <v>88</v>
      </c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13"/>
      <c r="AB3" s="13"/>
      <c r="AC3" s="13"/>
      <c r="AD3" s="13"/>
      <c r="AE3" s="13"/>
      <c r="AF3" s="13"/>
      <c r="AG3" s="13"/>
      <c r="AH3" s="13"/>
    </row>
    <row r="4" spans="1:44" s="1" customFormat="1" ht="12.75" customHeight="1" x14ac:dyDescent="0.2">
      <c r="A4" s="10"/>
      <c r="C4" s="13"/>
      <c r="D4" s="13"/>
      <c r="E4" s="13"/>
      <c r="F4" s="13"/>
      <c r="G4" s="13"/>
      <c r="H4" s="13"/>
      <c r="I4" s="13"/>
      <c r="J4" s="13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13"/>
      <c r="AB4" s="13"/>
      <c r="AC4" s="13"/>
      <c r="AD4" s="13"/>
      <c r="AE4" s="13"/>
      <c r="AF4" s="13"/>
      <c r="AG4" s="13"/>
      <c r="AH4" s="13"/>
    </row>
    <row r="5" spans="1:44" s="1" customFormat="1" ht="12.75" customHeight="1" x14ac:dyDescent="0.2">
      <c r="A5" s="10"/>
      <c r="C5" s="13"/>
      <c r="D5" s="13"/>
      <c r="E5" s="13"/>
      <c r="F5" s="13"/>
      <c r="G5" s="13"/>
      <c r="H5" s="13"/>
      <c r="I5" s="13"/>
      <c r="J5" s="13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13"/>
      <c r="AB5" s="13"/>
      <c r="AC5" s="13"/>
      <c r="AD5" s="13"/>
      <c r="AE5" s="13"/>
      <c r="AF5" s="13"/>
      <c r="AG5" s="13"/>
      <c r="AH5" s="13"/>
    </row>
    <row r="6" spans="1:44" s="1" customFormat="1" ht="27.75" x14ac:dyDescent="0.4">
      <c r="A6" s="607" t="s">
        <v>185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</row>
    <row r="7" spans="1:44" s="1" customFormat="1" ht="18.75" thickBot="1" x14ac:dyDescent="0.3">
      <c r="A7" s="658" t="s">
        <v>89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659"/>
      <c r="R7" s="659"/>
      <c r="S7" s="659"/>
      <c r="T7" s="659"/>
      <c r="U7" s="659"/>
      <c r="V7" s="659"/>
      <c r="W7" s="659"/>
      <c r="X7" s="659"/>
      <c r="Y7" s="659"/>
      <c r="Z7" s="659"/>
      <c r="AA7" s="659"/>
      <c r="AB7" s="659"/>
      <c r="AC7" s="659"/>
      <c r="AD7" s="659"/>
      <c r="AE7" s="659"/>
      <c r="AF7" s="659"/>
      <c r="AG7" s="659"/>
      <c r="AH7" s="659"/>
    </row>
    <row r="8" spans="1:44" s="1" customFormat="1" ht="21" thickBot="1" x14ac:dyDescent="0.35">
      <c r="A8" s="109" t="s">
        <v>143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09" t="s">
        <v>143</v>
      </c>
      <c r="AE8" s="110"/>
      <c r="AF8" s="110"/>
      <c r="AG8" s="110"/>
      <c r="AH8" s="110"/>
      <c r="AI8" s="13"/>
      <c r="AJ8" s="13"/>
      <c r="AK8" s="13"/>
      <c r="AL8" s="18"/>
      <c r="AM8" s="19"/>
      <c r="AN8" s="19"/>
    </row>
    <row r="9" spans="1:44" s="2" customFormat="1" ht="12.75" customHeight="1" thickBot="1" x14ac:dyDescent="0.25">
      <c r="A9" s="623" t="s">
        <v>1</v>
      </c>
      <c r="B9" s="623" t="s">
        <v>0</v>
      </c>
      <c r="C9" s="585" t="s">
        <v>83</v>
      </c>
      <c r="D9" s="585" t="s">
        <v>126</v>
      </c>
      <c r="E9" s="585" t="s">
        <v>134</v>
      </c>
      <c r="F9" s="585" t="s">
        <v>120</v>
      </c>
      <c r="G9" s="585" t="s">
        <v>109</v>
      </c>
      <c r="H9" s="585" t="s">
        <v>85</v>
      </c>
      <c r="I9" s="585" t="s">
        <v>156</v>
      </c>
      <c r="J9" s="602" t="s">
        <v>155</v>
      </c>
      <c r="K9" s="611" t="s">
        <v>128</v>
      </c>
      <c r="L9" s="611" t="s">
        <v>154</v>
      </c>
      <c r="M9" s="611" t="s">
        <v>155</v>
      </c>
      <c r="N9" s="596" t="s">
        <v>91</v>
      </c>
      <c r="O9" s="596" t="s">
        <v>127</v>
      </c>
      <c r="P9" s="611" t="s">
        <v>92</v>
      </c>
      <c r="Q9" s="596" t="s">
        <v>108</v>
      </c>
      <c r="R9" s="596" t="s">
        <v>90</v>
      </c>
      <c r="S9" s="596" t="s">
        <v>74</v>
      </c>
      <c r="T9" s="633" t="s">
        <v>63</v>
      </c>
      <c r="U9" s="634"/>
      <c r="V9" s="634"/>
      <c r="W9" s="634"/>
      <c r="X9" s="634"/>
      <c r="Y9" s="618" t="s">
        <v>73</v>
      </c>
      <c r="Z9" s="585" t="s">
        <v>95</v>
      </c>
      <c r="AA9" s="585" t="s">
        <v>94</v>
      </c>
      <c r="AB9" s="585" t="s">
        <v>93</v>
      </c>
      <c r="AC9" s="585" t="s">
        <v>97</v>
      </c>
      <c r="AD9" s="585" t="s">
        <v>96</v>
      </c>
      <c r="AE9" s="585" t="s">
        <v>182</v>
      </c>
      <c r="AF9" s="585" t="s">
        <v>184</v>
      </c>
      <c r="AG9" s="618" t="s">
        <v>183</v>
      </c>
      <c r="AH9" s="585" t="s">
        <v>98</v>
      </c>
      <c r="AI9" s="17"/>
      <c r="AJ9" s="17"/>
      <c r="AK9" s="17"/>
      <c r="AL9" s="18"/>
      <c r="AM9" s="19"/>
      <c r="AN9" s="19"/>
    </row>
    <row r="10" spans="1:44" s="2" customFormat="1" ht="89.25" customHeight="1" thickBot="1" x14ac:dyDescent="0.25">
      <c r="A10" s="624"/>
      <c r="B10" s="624"/>
      <c r="C10" s="586"/>
      <c r="D10" s="586"/>
      <c r="E10" s="586"/>
      <c r="F10" s="586"/>
      <c r="G10" s="586"/>
      <c r="H10" s="586"/>
      <c r="I10" s="586"/>
      <c r="J10" s="603"/>
      <c r="K10" s="612"/>
      <c r="L10" s="612"/>
      <c r="M10" s="612"/>
      <c r="N10" s="597"/>
      <c r="O10" s="597"/>
      <c r="P10" s="612"/>
      <c r="Q10" s="597"/>
      <c r="R10" s="597"/>
      <c r="S10" s="597"/>
      <c r="T10" s="92" t="s">
        <v>148</v>
      </c>
      <c r="U10" s="119" t="s">
        <v>65</v>
      </c>
      <c r="V10" s="119" t="s">
        <v>66</v>
      </c>
      <c r="W10" s="119" t="s">
        <v>67</v>
      </c>
      <c r="X10" s="119" t="s">
        <v>68</v>
      </c>
      <c r="Y10" s="632"/>
      <c r="Z10" s="586"/>
      <c r="AA10" s="586"/>
      <c r="AB10" s="586"/>
      <c r="AC10" s="586"/>
      <c r="AD10" s="586"/>
      <c r="AE10" s="586"/>
      <c r="AF10" s="586"/>
      <c r="AG10" s="586"/>
      <c r="AH10" s="586"/>
      <c r="AI10" s="17"/>
      <c r="AJ10" s="17"/>
      <c r="AK10" s="17"/>
      <c r="AL10" s="18"/>
      <c r="AM10" s="19"/>
      <c r="AN10" s="19"/>
    </row>
    <row r="11" spans="1:44" s="1" customFormat="1" ht="21.75" customHeight="1" x14ac:dyDescent="0.2">
      <c r="A11" s="402">
        <v>3509</v>
      </c>
      <c r="B11" s="445" t="s">
        <v>25</v>
      </c>
      <c r="C11" s="374">
        <v>0</v>
      </c>
      <c r="D11" s="374"/>
      <c r="E11" s="374"/>
      <c r="F11" s="374"/>
      <c r="G11" s="446">
        <v>3422</v>
      </c>
      <c r="H11" s="374">
        <f t="shared" ref="H11:H24" si="0">SUM(G11:G11)</f>
        <v>3422</v>
      </c>
      <c r="I11" s="374"/>
      <c r="J11" s="374"/>
      <c r="K11" s="379">
        <f>H11*'DATOS REFERENCIALES'!$C$4</f>
        <v>18752.560000000001</v>
      </c>
      <c r="L11" s="379"/>
      <c r="M11" s="379"/>
      <c r="N11" s="381">
        <f>LOOKUP(C11,'TABLA ANTIG.'!$A$4:$A$39,'TABLA ANTIG.'!$B$4:$B$39)*(K11)</f>
        <v>0</v>
      </c>
      <c r="O11" s="384">
        <f t="shared" ref="O11:O24" si="1">K11*0.1</f>
        <v>1875.2560000000003</v>
      </c>
      <c r="P11" s="379">
        <f>'DATOS REFERENCIALES'!$C$8</f>
        <v>3640</v>
      </c>
      <c r="Q11" s="385">
        <f>LOOKUP(C11,'TABLA ANTIG.'!$A$4:$A$39,'TABLA ANTIG.'!$B$4:$B$39)*(P11)</f>
        <v>0</v>
      </c>
      <c r="R11" s="381">
        <v>0</v>
      </c>
      <c r="S11" s="381">
        <f t="shared" ref="S11:S24" si="2">K11+N11+O11+P11+Q11+R11</f>
        <v>24267.816000000003</v>
      </c>
      <c r="T11" s="381">
        <f t="shared" ref="T11:T24" si="3">$S11*11%</f>
        <v>2669.4597600000002</v>
      </c>
      <c r="U11" s="381">
        <f t="shared" ref="U11:V24" si="4">$S11*3%</f>
        <v>728.03448000000003</v>
      </c>
      <c r="V11" s="381">
        <f t="shared" si="4"/>
        <v>728.03448000000003</v>
      </c>
      <c r="W11" s="381">
        <f t="shared" ref="W11:W24" si="5">$S11*2%</f>
        <v>485.35632000000004</v>
      </c>
      <c r="X11" s="381">
        <f t="shared" ref="X11:X24" si="6">$S11*4.5%</f>
        <v>1092.0517200000002</v>
      </c>
      <c r="Y11" s="381">
        <f t="shared" ref="Y11:Y24" si="7">SUM(T11:X11)</f>
        <v>5702.9367600000005</v>
      </c>
      <c r="Z11" s="381">
        <f t="shared" ref="Z11:Z24" si="8">S11-Y11</f>
        <v>18564.879240000002</v>
      </c>
      <c r="AA11" s="384">
        <f>'DATOS REFERENCIALES'!$C$10</f>
        <v>1294</v>
      </c>
      <c r="AB11" s="381">
        <f>IF((IF(H11&gt;1119,('DATOS REFERENCIALES'!$C$9-(S11-T11-U11-V11-W11-X11+AA11)),(('DATOS REFERENCIALES'!$C$9/1120)*H11)-(K11+N11+O11+P11+Q11+R11-T11-U11-V11-W11-X11+AA11)))&lt;0,0,IF(H11&gt;1119,(('DATOS REFERENCIALES'!$C$9)-(S11-T11-U11-V11-W11-X11+AA11)),(('DATOS REFERENCIALES'!$C$9/1120)*H11)-(K11+N11+O11+P11+Q11+R11-T11-U11-V11-W11-X11+AA11)))</f>
        <v>0</v>
      </c>
      <c r="AC11" s="385">
        <f t="shared" ref="AC11:AC24" si="9">SUM(Z11:AB11)</f>
        <v>19858.879240000002</v>
      </c>
      <c r="AD11" s="386">
        <f>'DATOS REFERENCIALES'!$C$13</f>
        <v>1210</v>
      </c>
      <c r="AE11" s="408"/>
      <c r="AF11" s="385">
        <f>'DATOS REFERENCIALES'!$C$11</f>
        <v>320</v>
      </c>
      <c r="AG11" s="381">
        <f>'DATOS REFERENCIALES'!$C$12</f>
        <v>210</v>
      </c>
      <c r="AH11" s="583">
        <f>SUM(AC11:AG11)+SUM(AC12:AG12)</f>
        <v>25149.442069000001</v>
      </c>
      <c r="AI11" s="13"/>
      <c r="AJ11" s="13"/>
      <c r="AK11" s="13"/>
      <c r="AL11" s="18"/>
      <c r="AM11" s="19"/>
      <c r="AN11" s="19"/>
      <c r="AR11" s="8"/>
    </row>
    <row r="12" spans="1:44" s="1" customFormat="1" ht="26.25" customHeight="1" thickBot="1" x14ac:dyDescent="0.25">
      <c r="A12" s="553">
        <v>3509</v>
      </c>
      <c r="B12" s="554" t="s">
        <v>25</v>
      </c>
      <c r="C12" s="389">
        <v>0</v>
      </c>
      <c r="D12" s="546"/>
      <c r="E12" s="546"/>
      <c r="F12" s="546"/>
      <c r="G12" s="545"/>
      <c r="H12" s="546"/>
      <c r="I12" s="389">
        <v>256.64999999999998</v>
      </c>
      <c r="J12" s="469">
        <v>0.15</v>
      </c>
      <c r="K12" s="394"/>
      <c r="L12" s="394">
        <f>I12*'DATOS REFERENCIALES'!$C$4</f>
        <v>1406.442</v>
      </c>
      <c r="M12" s="394">
        <f>K11*J12</f>
        <v>2812.884</v>
      </c>
      <c r="N12" s="396">
        <f>LOOKUP(C12,'TABLA ANTIG.'!$A$4:$A$39,'TABLA ANTIG.'!$B$4:$B$39)*(L12+M12)</f>
        <v>0</v>
      </c>
      <c r="O12" s="396">
        <f>(L12+M12)*0.1</f>
        <v>421.93260000000004</v>
      </c>
      <c r="P12" s="394"/>
      <c r="Q12" s="396"/>
      <c r="R12" s="395"/>
      <c r="S12" s="396">
        <f>L12+M12+N12+O12+P12+Q12+R12</f>
        <v>4641.2586000000001</v>
      </c>
      <c r="T12" s="399">
        <f t="shared" si="3"/>
        <v>510.53844600000002</v>
      </c>
      <c r="U12" s="396">
        <f t="shared" si="4"/>
        <v>139.23775799999999</v>
      </c>
      <c r="V12" s="399">
        <f t="shared" si="4"/>
        <v>139.23775799999999</v>
      </c>
      <c r="W12" s="396">
        <f>$S12*2%</f>
        <v>92.825172000000009</v>
      </c>
      <c r="X12" s="396">
        <f t="shared" si="6"/>
        <v>208.85663700000001</v>
      </c>
      <c r="Y12" s="396">
        <f t="shared" si="7"/>
        <v>1090.6957710000001</v>
      </c>
      <c r="Z12" s="400">
        <f t="shared" si="8"/>
        <v>3550.562829</v>
      </c>
      <c r="AA12" s="396"/>
      <c r="AB12" s="396"/>
      <c r="AC12" s="395">
        <f t="shared" si="9"/>
        <v>3550.562829</v>
      </c>
      <c r="AD12" s="401"/>
      <c r="AE12" s="414"/>
      <c r="AF12" s="395"/>
      <c r="AG12" s="396"/>
      <c r="AH12" s="584"/>
      <c r="AI12" s="13"/>
      <c r="AJ12" s="13"/>
      <c r="AK12" s="13"/>
      <c r="AL12" s="18"/>
      <c r="AM12" s="19"/>
      <c r="AN12" s="19"/>
      <c r="AR12" s="8"/>
    </row>
    <row r="13" spans="1:44" s="1" customFormat="1" ht="21.75" customHeight="1" x14ac:dyDescent="0.2">
      <c r="A13" s="433">
        <v>3510</v>
      </c>
      <c r="B13" s="311" t="s">
        <v>40</v>
      </c>
      <c r="C13" s="312">
        <v>0</v>
      </c>
      <c r="D13" s="312"/>
      <c r="E13" s="312"/>
      <c r="F13" s="312"/>
      <c r="G13" s="313">
        <v>2874</v>
      </c>
      <c r="H13" s="312">
        <f t="shared" si="0"/>
        <v>2874</v>
      </c>
      <c r="I13" s="312"/>
      <c r="J13" s="312"/>
      <c r="K13" s="314">
        <f>H13*'DATOS REFERENCIALES'!$C$4</f>
        <v>15749.52</v>
      </c>
      <c r="L13" s="314"/>
      <c r="M13" s="314"/>
      <c r="N13" s="316">
        <f>LOOKUP(C13,'TABLA ANTIG.'!$A$4:$A$39,'TABLA ANTIG.'!$B$4:$B$39)*(K13)</f>
        <v>0</v>
      </c>
      <c r="O13" s="319">
        <f t="shared" si="1"/>
        <v>1574.9520000000002</v>
      </c>
      <c r="P13" s="314">
        <f>'DATOS REFERENCIALES'!$C$8</f>
        <v>3640</v>
      </c>
      <c r="Q13" s="318">
        <f>LOOKUP(C13,'TABLA ANTIG.'!$A$4:$A$39,'TABLA ANTIG.'!$B$4:$B$39)*(P13)</f>
        <v>0</v>
      </c>
      <c r="R13" s="316">
        <v>0</v>
      </c>
      <c r="S13" s="316">
        <f t="shared" si="2"/>
        <v>20964.472000000002</v>
      </c>
      <c r="T13" s="316">
        <f t="shared" si="3"/>
        <v>2306.0919200000003</v>
      </c>
      <c r="U13" s="316">
        <f t="shared" si="4"/>
        <v>628.93416000000002</v>
      </c>
      <c r="V13" s="316">
        <f t="shared" si="4"/>
        <v>628.93416000000002</v>
      </c>
      <c r="W13" s="316">
        <f t="shared" si="5"/>
        <v>419.28944000000001</v>
      </c>
      <c r="X13" s="316">
        <f t="shared" si="6"/>
        <v>943.40124000000003</v>
      </c>
      <c r="Y13" s="316">
        <f t="shared" si="7"/>
        <v>4926.65092</v>
      </c>
      <c r="Z13" s="316">
        <f t="shared" si="8"/>
        <v>16037.821080000002</v>
      </c>
      <c r="AA13" s="319">
        <f>'DATOS REFERENCIALES'!$C$10</f>
        <v>1294</v>
      </c>
      <c r="AB13" s="316">
        <f>IF((IF(H13&gt;1119,('DATOS REFERENCIALES'!$C$9-(S13-T13-U13-V13-W13-X13+AA13)),(('DATOS REFERENCIALES'!$C$9/1120)*H13)-(K13+N13+O13+P13+Q13+R13-T13-U13-V13-W13-X13+AA13)))&lt;0,0,IF(H13&gt;1119,(('DATOS REFERENCIALES'!$C$9)-(S13-T13-U13-V13-W13-X13+AA13)),(('DATOS REFERENCIALES'!$C$9/1120)*H13)-(K13+N13+O13+P13+Q13+R13-T13-U13-V13-W13-X13+AA13)))</f>
        <v>0</v>
      </c>
      <c r="AC13" s="318">
        <f t="shared" si="9"/>
        <v>17331.821080000002</v>
      </c>
      <c r="AD13" s="321">
        <f>'DATOS REFERENCIALES'!$C$13</f>
        <v>1210</v>
      </c>
      <c r="AE13" s="438"/>
      <c r="AF13" s="318">
        <f>'DATOS REFERENCIALES'!$C$11</f>
        <v>320</v>
      </c>
      <c r="AG13" s="316">
        <f>'DATOS REFERENCIALES'!$C$12</f>
        <v>210</v>
      </c>
      <c r="AH13" s="579">
        <f>SUM(AC13:AG13)+SUM(AC14:AG14)</f>
        <v>20065.812661</v>
      </c>
      <c r="AI13" s="13"/>
      <c r="AJ13" s="13"/>
      <c r="AK13" s="13"/>
      <c r="AL13" s="18"/>
      <c r="AM13" s="19"/>
      <c r="AN13" s="19"/>
      <c r="AR13" s="8"/>
    </row>
    <row r="14" spans="1:44" s="1" customFormat="1" ht="21.75" customHeight="1" thickBot="1" x14ac:dyDescent="0.25">
      <c r="A14" s="439">
        <v>3510</v>
      </c>
      <c r="B14" s="456" t="s">
        <v>40</v>
      </c>
      <c r="C14" s="324">
        <f>IF(C13&gt;0,C13,0)</f>
        <v>0</v>
      </c>
      <c r="D14" s="365"/>
      <c r="E14" s="365"/>
      <c r="F14" s="365"/>
      <c r="G14" s="457"/>
      <c r="H14" s="365"/>
      <c r="I14" s="365">
        <v>215.55</v>
      </c>
      <c r="J14" s="552"/>
      <c r="K14" s="369"/>
      <c r="L14" s="369">
        <f>I14*'DATOS REFERENCIALES'!$C$4</f>
        <v>1181.2140000000002</v>
      </c>
      <c r="M14" s="369">
        <f>IF(J14='DATOS REFERENCIALES'!$C$28,K13*'DATOS REFERENCIALES'!$D$28,IF(J14='DATOS REFERENCIALES'!$C$29,('DATOS REFERENCIALES'!$D$29*K13),IF(J14='DATOS REFERENCIALES'!$C$30,('DATOS REFERENCIALES'!$D$30*K13),IF(J14='DATOS REFERENCIALES'!$C$31,('DATOS REFERENCIALES'!$D$31*K13),IF(J14='DATOS REFERENCIALES'!$C$32,('DATOS REFERENCIALES'!$D$32*K13),IF(J14='DATOS REFERENCIALES'!$C$33,('DATOS REFERENCIALES'!$D$33*K13),IF(J14='DATOS REFERENCIALES'!$C$34,('DATOS REFERENCIALES'!$D$34*K13),IF(J14='DATOS REFERENCIALES'!$C$35,('DATOS REFERENCIALES'!$D$35*K13),0))))))))</f>
        <v>0</v>
      </c>
      <c r="N14" s="336">
        <f>LOOKUP(C14,'TABLA ANTIG.'!$A$4:$A$39,'TABLA ANTIG.'!$B$4:$B$39)*(L14+M14)</f>
        <v>0</v>
      </c>
      <c r="O14" s="336">
        <f>(L14+M14)*0.1</f>
        <v>118.12140000000002</v>
      </c>
      <c r="P14" s="369"/>
      <c r="Q14" s="336"/>
      <c r="R14" s="333"/>
      <c r="S14" s="336">
        <f>L14+M14+N14+O14+P14+Q14+R14</f>
        <v>1299.3354000000002</v>
      </c>
      <c r="T14" s="370">
        <f t="shared" si="3"/>
        <v>142.92689400000003</v>
      </c>
      <c r="U14" s="336">
        <f t="shared" si="4"/>
        <v>38.980062000000004</v>
      </c>
      <c r="V14" s="370">
        <f t="shared" si="4"/>
        <v>38.980062000000004</v>
      </c>
      <c r="W14" s="336">
        <f>$S14*2%</f>
        <v>25.986708000000004</v>
      </c>
      <c r="X14" s="336">
        <f t="shared" si="6"/>
        <v>58.470093000000006</v>
      </c>
      <c r="Y14" s="336">
        <f t="shared" si="7"/>
        <v>305.34381900000005</v>
      </c>
      <c r="Z14" s="371">
        <f t="shared" si="8"/>
        <v>993.99158100000011</v>
      </c>
      <c r="AA14" s="336"/>
      <c r="AB14" s="336"/>
      <c r="AC14" s="333">
        <f t="shared" si="9"/>
        <v>993.99158100000011</v>
      </c>
      <c r="AD14" s="571"/>
      <c r="AE14" s="444"/>
      <c r="AF14" s="333"/>
      <c r="AG14" s="336"/>
      <c r="AH14" s="580"/>
      <c r="AI14" s="13"/>
      <c r="AJ14" s="13"/>
      <c r="AK14" s="13"/>
      <c r="AL14" s="18"/>
      <c r="AM14" s="19"/>
      <c r="AN14" s="19"/>
      <c r="AR14" s="8"/>
    </row>
    <row r="15" spans="1:44" s="1" customFormat="1" ht="21.75" customHeight="1" x14ac:dyDescent="0.2">
      <c r="A15" s="181">
        <v>3525</v>
      </c>
      <c r="B15" s="182" t="s">
        <v>27</v>
      </c>
      <c r="C15" s="183">
        <v>0</v>
      </c>
      <c r="D15" s="183"/>
      <c r="E15" s="183"/>
      <c r="F15" s="183"/>
      <c r="G15" s="184">
        <v>2204</v>
      </c>
      <c r="H15" s="139">
        <v>2500</v>
      </c>
      <c r="I15" s="139"/>
      <c r="J15" s="139"/>
      <c r="K15" s="120">
        <f>H15*'DATOS REFERENCIALES'!$C$4</f>
        <v>13700.000000000002</v>
      </c>
      <c r="L15" s="120"/>
      <c r="M15" s="120"/>
      <c r="N15" s="122">
        <f>LOOKUP(C15,'TABLA ANTIG.'!$A$4:$A$39,'TABLA ANTIG.'!$B$4:$B$39)*(K15)</f>
        <v>0</v>
      </c>
      <c r="O15" s="166">
        <f t="shared" si="1"/>
        <v>1370.0000000000002</v>
      </c>
      <c r="P15" s="120">
        <f>'DATOS REFERENCIALES'!$C$8</f>
        <v>3640</v>
      </c>
      <c r="Q15" s="167">
        <f>LOOKUP(C15,'TABLA ANTIG.'!$A$4:$A$39,'TABLA ANTIG.'!$B$4:$B$39)*(P15)</f>
        <v>0</v>
      </c>
      <c r="R15" s="133">
        <v>0</v>
      </c>
      <c r="S15" s="133">
        <f t="shared" si="2"/>
        <v>18710</v>
      </c>
      <c r="T15" s="133">
        <f t="shared" si="3"/>
        <v>2058.1</v>
      </c>
      <c r="U15" s="133">
        <f t="shared" si="4"/>
        <v>561.29999999999995</v>
      </c>
      <c r="V15" s="133">
        <f t="shared" si="4"/>
        <v>561.29999999999995</v>
      </c>
      <c r="W15" s="133">
        <f t="shared" si="5"/>
        <v>374.2</v>
      </c>
      <c r="X15" s="133">
        <f t="shared" si="6"/>
        <v>841.94999999999993</v>
      </c>
      <c r="Y15" s="133">
        <f t="shared" si="7"/>
        <v>4396.8499999999995</v>
      </c>
      <c r="Z15" s="122">
        <f t="shared" si="8"/>
        <v>14313.150000000001</v>
      </c>
      <c r="AA15" s="170">
        <f>'DATOS REFERENCIALES'!$C$10</f>
        <v>1294</v>
      </c>
      <c r="AB15" s="122">
        <f>IF((IF(H15&gt;1119,('DATOS REFERENCIALES'!$C$9-(S15-T15-U15-V15-W15-X15+AA15)),(('DATOS REFERENCIALES'!$C$9/1120)*H15)-(K15+N15+O15+P15+Q15+R15-T15-U15-V15-W15-X15+AA15)))&lt;0,0,IF(H15&gt;1119,(('DATOS REFERENCIALES'!$C$9)-(S15-T15-U15-V15-W15-X15+AA15)),(('DATOS REFERENCIALES'!$C$9/1120)*H15)-(K15+N15+O15+P15+Q15+R15-T15-U15-V15-W15-X15+AA15)))</f>
        <v>0</v>
      </c>
      <c r="AC15" s="167">
        <f t="shared" si="9"/>
        <v>15607.150000000001</v>
      </c>
      <c r="AD15" s="572">
        <f>'DATOS REFERENCIALES'!$C$13</f>
        <v>1210</v>
      </c>
      <c r="AE15" s="305"/>
      <c r="AF15" s="167">
        <f>'DATOS REFERENCIALES'!$C$11</f>
        <v>320</v>
      </c>
      <c r="AG15" s="122">
        <f>'DATOS REFERENCIALES'!$C$12</f>
        <v>210</v>
      </c>
      <c r="AH15" s="122">
        <f t="shared" ref="AH15:AH24" si="10">SUM(AC15:AG15)</f>
        <v>17347.150000000001</v>
      </c>
      <c r="AI15" s="13"/>
      <c r="AJ15" s="13"/>
      <c r="AK15" s="13"/>
      <c r="AL15" s="18"/>
      <c r="AM15" s="19"/>
      <c r="AN15" s="19"/>
      <c r="AR15" s="8"/>
    </row>
    <row r="16" spans="1:44" s="1" customFormat="1" ht="21.75" customHeight="1" x14ac:dyDescent="0.2">
      <c r="A16" s="89">
        <v>3535</v>
      </c>
      <c r="B16" s="100" t="s">
        <v>41</v>
      </c>
      <c r="C16" s="27">
        <v>0</v>
      </c>
      <c r="D16" s="27"/>
      <c r="E16" s="27"/>
      <c r="F16" s="27"/>
      <c r="G16" s="64">
        <v>984</v>
      </c>
      <c r="H16" s="47">
        <f t="shared" si="0"/>
        <v>984</v>
      </c>
      <c r="I16" s="47"/>
      <c r="J16" s="47"/>
      <c r="K16" s="104">
        <f>H16*'DATOS REFERENCIALES'!$C$4</f>
        <v>5392.3200000000006</v>
      </c>
      <c r="L16" s="104"/>
      <c r="M16" s="104"/>
      <c r="N16" s="94">
        <f>LOOKUP(C16,'TABLA ANTIG.'!$A$4:$A$39,'TABLA ANTIG.'!$B$4:$B$39)*(K16)</f>
        <v>0</v>
      </c>
      <c r="O16" s="113">
        <f t="shared" si="1"/>
        <v>539.23200000000008</v>
      </c>
      <c r="P16" s="104">
        <f>'DATOS REFERENCIALES'!$C$8</f>
        <v>3640</v>
      </c>
      <c r="Q16" s="150">
        <f>LOOKUP(C16,'TABLA ANTIG.'!$A$4:$A$39,'TABLA ANTIG.'!$B$4:$B$39)*(P16)</f>
        <v>0</v>
      </c>
      <c r="R16" s="31">
        <v>0</v>
      </c>
      <c r="S16" s="31">
        <f t="shared" si="2"/>
        <v>9571.5519999999997</v>
      </c>
      <c r="T16" s="31">
        <f t="shared" si="3"/>
        <v>1052.8707199999999</v>
      </c>
      <c r="U16" s="31">
        <f t="shared" si="4"/>
        <v>287.14655999999997</v>
      </c>
      <c r="V16" s="31">
        <f t="shared" si="4"/>
        <v>287.14655999999997</v>
      </c>
      <c r="W16" s="31">
        <f t="shared" si="5"/>
        <v>191.43104</v>
      </c>
      <c r="X16" s="31">
        <f t="shared" si="6"/>
        <v>430.71983999999998</v>
      </c>
      <c r="Y16" s="31">
        <f t="shared" si="7"/>
        <v>2249.3147199999994</v>
      </c>
      <c r="Z16" s="94">
        <f t="shared" si="8"/>
        <v>7322.2372800000003</v>
      </c>
      <c r="AA16" s="168">
        <f>'DATOS REFERENCIALES'!$C$10</f>
        <v>1294</v>
      </c>
      <c r="AB16" s="94">
        <f>IF((IF(H16&gt;1119,('DATOS REFERENCIALES'!$C$9-(S16-T16-U16-V16-W16-X16+AA16)),(('DATOS REFERENCIALES'!$C$9/1120)*H16)-(K16+N16+O16+P16+Q16+R16-T16-U16-V16-W16-X16+AA16)))&lt;0,0,IF(H16&gt;1119,(('DATOS REFERENCIALES'!$C$9)-(S16-T16-U16-V16-W16-X16+AA16)),(('DATOS REFERENCIALES'!$C$9/1120)*H16)-(K16+N16+O16+P16+Q16+R16-T16-U16-V16-W16-X16+AA16)))</f>
        <v>4220.5698628571408</v>
      </c>
      <c r="AC16" s="150">
        <f t="shared" si="9"/>
        <v>12836.807142857142</v>
      </c>
      <c r="AD16" s="106">
        <f>'DATOS REFERENCIALES'!$C$13</f>
        <v>1210</v>
      </c>
      <c r="AE16" s="308"/>
      <c r="AF16" s="150">
        <f>'DATOS REFERENCIALES'!$C$11</f>
        <v>320</v>
      </c>
      <c r="AG16" s="94">
        <f>'DATOS REFERENCIALES'!$C$12</f>
        <v>210</v>
      </c>
      <c r="AH16" s="94">
        <f t="shared" si="10"/>
        <v>14576.807142857142</v>
      </c>
      <c r="AI16" s="13"/>
      <c r="AJ16" s="13"/>
      <c r="AK16" s="13"/>
      <c r="AL16" s="18"/>
      <c r="AM16" s="19"/>
      <c r="AN16" s="19"/>
      <c r="AR16" s="8"/>
    </row>
    <row r="17" spans="1:44" s="1" customFormat="1" ht="21.75" customHeight="1" x14ac:dyDescent="0.2">
      <c r="A17" s="89">
        <v>3536</v>
      </c>
      <c r="B17" s="100" t="s">
        <v>42</v>
      </c>
      <c r="C17" s="27">
        <v>0</v>
      </c>
      <c r="D17" s="27"/>
      <c r="E17" s="27"/>
      <c r="F17" s="27"/>
      <c r="G17" s="64">
        <v>810</v>
      </c>
      <c r="H17" s="47">
        <v>825</v>
      </c>
      <c r="I17" s="47"/>
      <c r="J17" s="47"/>
      <c r="K17" s="104">
        <f>H17*'DATOS REFERENCIALES'!$C$4</f>
        <v>4521</v>
      </c>
      <c r="L17" s="104"/>
      <c r="M17" s="104"/>
      <c r="N17" s="94">
        <f>LOOKUP(C17,'TABLA ANTIG.'!$A$4:$A$39,'TABLA ANTIG.'!$B$4:$B$39)*(K17)</f>
        <v>0</v>
      </c>
      <c r="O17" s="113">
        <f t="shared" si="1"/>
        <v>452.1</v>
      </c>
      <c r="P17" s="104">
        <f>'DATOS REFERENCIALES'!$C$8</f>
        <v>3640</v>
      </c>
      <c r="Q17" s="150">
        <f>LOOKUP(C17,'TABLA ANTIG.'!$A$4:$A$39,'TABLA ANTIG.'!$B$4:$B$39)*(P17)</f>
        <v>0</v>
      </c>
      <c r="R17" s="31">
        <v>0</v>
      </c>
      <c r="S17" s="31">
        <f t="shared" si="2"/>
        <v>8613.1</v>
      </c>
      <c r="T17" s="31">
        <f t="shared" si="3"/>
        <v>947.44100000000003</v>
      </c>
      <c r="U17" s="31">
        <f t="shared" si="4"/>
        <v>258.39300000000003</v>
      </c>
      <c r="V17" s="31">
        <f t="shared" si="4"/>
        <v>258.39300000000003</v>
      </c>
      <c r="W17" s="31">
        <f t="shared" si="5"/>
        <v>172.262</v>
      </c>
      <c r="X17" s="31">
        <f t="shared" si="6"/>
        <v>387.58949999999999</v>
      </c>
      <c r="Y17" s="31">
        <f t="shared" si="7"/>
        <v>2024.0785000000001</v>
      </c>
      <c r="Z17" s="94">
        <f t="shared" si="8"/>
        <v>6589.0215000000007</v>
      </c>
      <c r="AA17" s="168">
        <f>'DATOS REFERENCIALES'!$C$10</f>
        <v>1294</v>
      </c>
      <c r="AB17" s="94">
        <f>IF((IF(H17&gt;1119,('DATOS REFERENCIALES'!$C$9-(S17-T17-U17-V17-W17-X17+AA17)),(('DATOS REFERENCIALES'!$C$9/1120)*H17)-(K17+N17+O17+P17+Q17+R17-T17-U17-V17-W17-X17+AA17)))&lt;0,0,IF(H17&gt;1119,(('DATOS REFERENCIALES'!$C$9)-(S17-T17-U17-V17-W17-X17+AA17)),(('DATOS REFERENCIALES'!$C$9/1120)*H17)-(K17+N17+O17+P17+Q17+R17-T17-U17-V17-W17-X17+AA17)))</f>
        <v>2879.545464285713</v>
      </c>
      <c r="AC17" s="150">
        <f t="shared" si="9"/>
        <v>10762.566964285714</v>
      </c>
      <c r="AD17" s="106">
        <f>'DATOS REFERENCIALES'!$C$13</f>
        <v>1210</v>
      </c>
      <c r="AE17" s="308"/>
      <c r="AF17" s="150">
        <f>'DATOS REFERENCIALES'!$C$11</f>
        <v>320</v>
      </c>
      <c r="AG17" s="94">
        <f>'DATOS REFERENCIALES'!$C$12</f>
        <v>210</v>
      </c>
      <c r="AH17" s="94">
        <f t="shared" si="10"/>
        <v>12502.566964285714</v>
      </c>
      <c r="AI17" s="13"/>
      <c r="AJ17" s="13"/>
      <c r="AK17" s="13"/>
      <c r="AL17" s="18"/>
      <c r="AM17" s="19"/>
      <c r="AN17" s="19"/>
      <c r="AR17" s="8"/>
    </row>
    <row r="18" spans="1:44" s="1" customFormat="1" ht="21.75" customHeight="1" x14ac:dyDescent="0.2">
      <c r="A18" s="89">
        <v>3539</v>
      </c>
      <c r="B18" s="100" t="s">
        <v>43</v>
      </c>
      <c r="C18" s="27">
        <v>0</v>
      </c>
      <c r="D18" s="27"/>
      <c r="E18" s="27"/>
      <c r="F18" s="27"/>
      <c r="G18" s="64">
        <v>1684</v>
      </c>
      <c r="H18" s="47">
        <f t="shared" si="0"/>
        <v>1684</v>
      </c>
      <c r="I18" s="47"/>
      <c r="J18" s="47"/>
      <c r="K18" s="104">
        <f>H18*'DATOS REFERENCIALES'!$C$4</f>
        <v>9228.3200000000015</v>
      </c>
      <c r="L18" s="104"/>
      <c r="M18" s="104"/>
      <c r="N18" s="94">
        <f>LOOKUP(C18,'TABLA ANTIG.'!$A$4:$A$39,'TABLA ANTIG.'!$B$4:$B$39)*(K18)</f>
        <v>0</v>
      </c>
      <c r="O18" s="113">
        <f t="shared" si="1"/>
        <v>922.83200000000022</v>
      </c>
      <c r="P18" s="104">
        <f>'DATOS REFERENCIALES'!$C$8</f>
        <v>3640</v>
      </c>
      <c r="Q18" s="150">
        <f>LOOKUP(C18,'TABLA ANTIG.'!$A$4:$A$39,'TABLA ANTIG.'!$B$4:$B$39)*(P18)</f>
        <v>0</v>
      </c>
      <c r="R18" s="31">
        <v>0</v>
      </c>
      <c r="S18" s="31">
        <f t="shared" si="2"/>
        <v>13791.152000000002</v>
      </c>
      <c r="T18" s="31">
        <f t="shared" si="3"/>
        <v>1517.0267200000003</v>
      </c>
      <c r="U18" s="31">
        <f t="shared" si="4"/>
        <v>413.73456000000004</v>
      </c>
      <c r="V18" s="31">
        <f t="shared" si="4"/>
        <v>413.73456000000004</v>
      </c>
      <c r="W18" s="31">
        <f t="shared" si="5"/>
        <v>275.82304000000005</v>
      </c>
      <c r="X18" s="31">
        <f t="shared" si="6"/>
        <v>620.60184000000004</v>
      </c>
      <c r="Y18" s="31">
        <f t="shared" si="7"/>
        <v>3240.920720000001</v>
      </c>
      <c r="Z18" s="94">
        <f t="shared" si="8"/>
        <v>10550.23128</v>
      </c>
      <c r="AA18" s="168">
        <f>'DATOS REFERENCIALES'!$C$10</f>
        <v>1294</v>
      </c>
      <c r="AB18" s="94">
        <f>IF((IF(H18&gt;1119,('DATOS REFERENCIALES'!$C$9-(S18-T18-U18-V18-W18-X18+AA18)),(('DATOS REFERENCIALES'!$C$9/1120)*H18)-(K18+N18+O18+P18+Q18+R18-T18-U18-V18-W18-X18+AA18)))&lt;0,0,IF(H18&gt;1119,(('DATOS REFERENCIALES'!$C$9)-(S18-T18-U18-V18-W18-X18+AA18)),(('DATOS REFERENCIALES'!$C$9/1120)*H18)-(K18+N18+O18+P18+Q18+R18-T18-U18-V18-W18-X18+AA18)))</f>
        <v>2766.7687199999982</v>
      </c>
      <c r="AC18" s="150">
        <f t="shared" si="9"/>
        <v>14610.999999999998</v>
      </c>
      <c r="AD18" s="106">
        <f>'DATOS REFERENCIALES'!$C$13</f>
        <v>1210</v>
      </c>
      <c r="AE18" s="308"/>
      <c r="AF18" s="150">
        <f>'DATOS REFERENCIALES'!$C$11</f>
        <v>320</v>
      </c>
      <c r="AG18" s="94">
        <f>'DATOS REFERENCIALES'!$C$12</f>
        <v>210</v>
      </c>
      <c r="AH18" s="94">
        <f t="shared" si="10"/>
        <v>16350.999999999998</v>
      </c>
      <c r="AI18" s="13"/>
      <c r="AJ18" s="13"/>
      <c r="AK18" s="13"/>
      <c r="AL18" s="18"/>
      <c r="AM18" s="19"/>
      <c r="AN18" s="19"/>
      <c r="AR18" s="8"/>
    </row>
    <row r="19" spans="1:44" s="1" customFormat="1" ht="21.75" customHeight="1" x14ac:dyDescent="0.2">
      <c r="A19" s="89">
        <v>3544</v>
      </c>
      <c r="B19" s="100" t="s">
        <v>44</v>
      </c>
      <c r="C19" s="27">
        <v>0</v>
      </c>
      <c r="D19" s="27"/>
      <c r="E19" s="27"/>
      <c r="F19" s="27"/>
      <c r="G19" s="64">
        <v>952</v>
      </c>
      <c r="H19" s="47">
        <f t="shared" si="0"/>
        <v>952</v>
      </c>
      <c r="I19" s="47"/>
      <c r="J19" s="47"/>
      <c r="K19" s="104">
        <f>H19*'DATOS REFERENCIALES'!$C$4</f>
        <v>5216.96</v>
      </c>
      <c r="L19" s="104"/>
      <c r="M19" s="104"/>
      <c r="N19" s="94">
        <f>LOOKUP(C19,'TABLA ANTIG.'!$A$4:$A$39,'TABLA ANTIG.'!$B$4:$B$39)*(K19)</f>
        <v>0</v>
      </c>
      <c r="O19" s="113">
        <f t="shared" si="1"/>
        <v>521.69600000000003</v>
      </c>
      <c r="P19" s="104">
        <f>'DATOS REFERENCIALES'!$C$8</f>
        <v>3640</v>
      </c>
      <c r="Q19" s="150">
        <f>LOOKUP(C19,'TABLA ANTIG.'!$A$4:$A$39,'TABLA ANTIG.'!$B$4:$B$39)*(P19)</f>
        <v>0</v>
      </c>
      <c r="R19" s="31">
        <v>0</v>
      </c>
      <c r="S19" s="31">
        <f t="shared" si="2"/>
        <v>9378.655999999999</v>
      </c>
      <c r="T19" s="31">
        <f t="shared" si="3"/>
        <v>1031.6521599999999</v>
      </c>
      <c r="U19" s="31">
        <f t="shared" si="4"/>
        <v>281.35967999999997</v>
      </c>
      <c r="V19" s="31">
        <f t="shared" si="4"/>
        <v>281.35967999999997</v>
      </c>
      <c r="W19" s="31">
        <f t="shared" si="5"/>
        <v>187.57311999999999</v>
      </c>
      <c r="X19" s="31">
        <f t="shared" si="6"/>
        <v>422.03951999999992</v>
      </c>
      <c r="Y19" s="31">
        <f t="shared" si="7"/>
        <v>2203.98416</v>
      </c>
      <c r="Z19" s="94">
        <f t="shared" si="8"/>
        <v>7174.6718399999991</v>
      </c>
      <c r="AA19" s="168">
        <f>'DATOS REFERENCIALES'!$C$10</f>
        <v>1294</v>
      </c>
      <c r="AB19" s="94">
        <f>IF((IF(H19&gt;1119,('DATOS REFERENCIALES'!$C$9-(S19-T19-U19-V19-W19-X19+AA19)),(('DATOS REFERENCIALES'!$C$9/1120)*H19)-(K19+N19+O19+P19+Q19+R19-T19-U19-V19-W19-X19+AA19)))&lt;0,0,IF(H19&gt;1119,(('DATOS REFERENCIALES'!$C$9)-(S19-T19-U19-V19-W19-X19+AA19)),(('DATOS REFERENCIALES'!$C$9/1120)*H19)-(K19+N19+O19+P19+Q19+R19-T19-U19-V19-W19-X19+AA19)))</f>
        <v>3950.6781600000013</v>
      </c>
      <c r="AC19" s="150">
        <f t="shared" si="9"/>
        <v>12419.35</v>
      </c>
      <c r="AD19" s="106">
        <f>'DATOS REFERENCIALES'!$C$13</f>
        <v>1210</v>
      </c>
      <c r="AE19" s="308"/>
      <c r="AF19" s="150">
        <f>'DATOS REFERENCIALES'!$C$11</f>
        <v>320</v>
      </c>
      <c r="AG19" s="94">
        <f>'DATOS REFERENCIALES'!$C$12</f>
        <v>210</v>
      </c>
      <c r="AH19" s="94">
        <f t="shared" si="10"/>
        <v>14159.35</v>
      </c>
      <c r="AI19" s="13"/>
      <c r="AJ19" s="13"/>
      <c r="AK19" s="13"/>
      <c r="AL19" s="18"/>
      <c r="AM19" s="19"/>
      <c r="AN19" s="19"/>
      <c r="AR19" s="8"/>
    </row>
    <row r="20" spans="1:44" s="1" customFormat="1" ht="21.75" customHeight="1" x14ac:dyDescent="0.2">
      <c r="A20" s="89">
        <v>3549</v>
      </c>
      <c r="B20" s="100" t="s">
        <v>29</v>
      </c>
      <c r="C20" s="27">
        <v>0</v>
      </c>
      <c r="D20" s="27"/>
      <c r="E20" s="27"/>
      <c r="F20" s="27"/>
      <c r="G20" s="64">
        <v>1120</v>
      </c>
      <c r="H20" s="47">
        <f t="shared" si="0"/>
        <v>1120</v>
      </c>
      <c r="I20" s="47"/>
      <c r="J20" s="47"/>
      <c r="K20" s="104">
        <f>H20*'DATOS REFERENCIALES'!$C$4</f>
        <v>6137.6</v>
      </c>
      <c r="L20" s="104"/>
      <c r="M20" s="104"/>
      <c r="N20" s="94">
        <f>LOOKUP(C20,'TABLA ANTIG.'!$A$4:$A$39,'TABLA ANTIG.'!$B$4:$B$39)*(K20)</f>
        <v>0</v>
      </c>
      <c r="O20" s="113">
        <f t="shared" si="1"/>
        <v>613.7600000000001</v>
      </c>
      <c r="P20" s="104">
        <f>'DATOS REFERENCIALES'!$C$8</f>
        <v>3640</v>
      </c>
      <c r="Q20" s="150">
        <f>LOOKUP(C20,'TABLA ANTIG.'!$A$4:$A$39,'TABLA ANTIG.'!$B$4:$B$39)*(P20)</f>
        <v>0</v>
      </c>
      <c r="R20" s="31">
        <v>0</v>
      </c>
      <c r="S20" s="31">
        <f t="shared" si="2"/>
        <v>10391.36</v>
      </c>
      <c r="T20" s="31">
        <f t="shared" si="3"/>
        <v>1143.0496000000001</v>
      </c>
      <c r="U20" s="31">
        <f t="shared" si="4"/>
        <v>311.74079999999998</v>
      </c>
      <c r="V20" s="31">
        <f t="shared" si="4"/>
        <v>311.74079999999998</v>
      </c>
      <c r="W20" s="31">
        <f t="shared" si="5"/>
        <v>207.8272</v>
      </c>
      <c r="X20" s="31">
        <f t="shared" si="6"/>
        <v>467.6112</v>
      </c>
      <c r="Y20" s="31">
        <f t="shared" si="7"/>
        <v>2441.9695999999999</v>
      </c>
      <c r="Z20" s="94">
        <f t="shared" si="8"/>
        <v>7949.3904000000002</v>
      </c>
      <c r="AA20" s="168">
        <f>'DATOS REFERENCIALES'!$C$10</f>
        <v>1294</v>
      </c>
      <c r="AB20" s="94">
        <f>IF((IF(H20&gt;1119,('DATOS REFERENCIALES'!$C$9-(S20-T20-U20-V20-W20-X20+AA20)),(('DATOS REFERENCIALES'!$C$9/1120)*H20)-(K20+N20+O20+P20+Q20+R20-T20-U20-V20-W20-X20+AA20)))&lt;0,0,IF(H20&gt;1119,(('DATOS REFERENCIALES'!$C$9)-(S20-T20-U20-V20-W20-X20+AA20)),(('DATOS REFERENCIALES'!$C$9/1120)*H20)-(K20+N20+O20+P20+Q20+R20-T20-U20-V20-W20-X20+AA20)))</f>
        <v>5367.6095999999998</v>
      </c>
      <c r="AC20" s="150">
        <f t="shared" si="9"/>
        <v>14611</v>
      </c>
      <c r="AD20" s="106">
        <f>'DATOS REFERENCIALES'!$C$13</f>
        <v>1210</v>
      </c>
      <c r="AE20" s="308"/>
      <c r="AF20" s="150">
        <f>'DATOS REFERENCIALES'!$C$11</f>
        <v>320</v>
      </c>
      <c r="AG20" s="94">
        <f>'DATOS REFERENCIALES'!$C$12</f>
        <v>210</v>
      </c>
      <c r="AH20" s="94">
        <f t="shared" si="10"/>
        <v>16351</v>
      </c>
      <c r="AI20" s="13"/>
      <c r="AJ20" s="13"/>
      <c r="AK20" s="13"/>
      <c r="AL20" s="18"/>
      <c r="AM20" s="19"/>
      <c r="AN20" s="19"/>
      <c r="AR20" s="8"/>
    </row>
    <row r="21" spans="1:44" s="1" customFormat="1" ht="21.75" customHeight="1" x14ac:dyDescent="0.2">
      <c r="A21" s="89">
        <v>3554</v>
      </c>
      <c r="B21" s="100" t="s">
        <v>32</v>
      </c>
      <c r="C21" s="27">
        <v>0</v>
      </c>
      <c r="D21" s="27"/>
      <c r="E21" s="27"/>
      <c r="F21" s="27"/>
      <c r="G21" s="64">
        <v>810</v>
      </c>
      <c r="H21" s="47">
        <v>825</v>
      </c>
      <c r="I21" s="47"/>
      <c r="J21" s="47"/>
      <c r="K21" s="104">
        <f>H21*'DATOS REFERENCIALES'!$C$4</f>
        <v>4521</v>
      </c>
      <c r="L21" s="104"/>
      <c r="M21" s="104"/>
      <c r="N21" s="94">
        <f>LOOKUP(C21,'TABLA ANTIG.'!$A$4:$A$39,'TABLA ANTIG.'!$B$4:$B$39)*(K21)</f>
        <v>0</v>
      </c>
      <c r="O21" s="113">
        <f t="shared" si="1"/>
        <v>452.1</v>
      </c>
      <c r="P21" s="104">
        <f>'DATOS REFERENCIALES'!$C$8</f>
        <v>3640</v>
      </c>
      <c r="Q21" s="150">
        <f>LOOKUP(C21,'TABLA ANTIG.'!$A$4:$A$39,'TABLA ANTIG.'!$B$4:$B$39)*(P21)</f>
        <v>0</v>
      </c>
      <c r="R21" s="31">
        <v>0</v>
      </c>
      <c r="S21" s="31">
        <f t="shared" si="2"/>
        <v>8613.1</v>
      </c>
      <c r="T21" s="31">
        <f t="shared" si="3"/>
        <v>947.44100000000003</v>
      </c>
      <c r="U21" s="31">
        <f t="shared" si="4"/>
        <v>258.39300000000003</v>
      </c>
      <c r="V21" s="31">
        <f t="shared" si="4"/>
        <v>258.39300000000003</v>
      </c>
      <c r="W21" s="31">
        <f t="shared" si="5"/>
        <v>172.262</v>
      </c>
      <c r="X21" s="31">
        <f t="shared" si="6"/>
        <v>387.58949999999999</v>
      </c>
      <c r="Y21" s="31">
        <f t="shared" si="7"/>
        <v>2024.0785000000001</v>
      </c>
      <c r="Z21" s="94">
        <f t="shared" si="8"/>
        <v>6589.0215000000007</v>
      </c>
      <c r="AA21" s="168">
        <f>'DATOS REFERENCIALES'!$C$10</f>
        <v>1294</v>
      </c>
      <c r="AB21" s="94">
        <f>IF((IF(H21&gt;1119,('DATOS REFERENCIALES'!$C$9-(S21-T21-U21-V21-W21-X21+AA21)),(('DATOS REFERENCIALES'!$C$9/1120)*H21)-(K21+N21+O21+P21+Q21+R21-T21-U21-V21-W21-X21+AA21)))&lt;0,0,IF(H21&gt;1119,(('DATOS REFERENCIALES'!$C$9)-(S21-T21-U21-V21-W21-X21+AA21)),(('DATOS REFERENCIALES'!$C$9/1120)*H21)-(K21+N21+O21+P21+Q21+R21-T21-U21-V21-W21-X21+AA21)))</f>
        <v>2879.545464285713</v>
      </c>
      <c r="AC21" s="150">
        <f t="shared" si="9"/>
        <v>10762.566964285714</v>
      </c>
      <c r="AD21" s="106">
        <f>'DATOS REFERENCIALES'!$C$13</f>
        <v>1210</v>
      </c>
      <c r="AE21" s="308"/>
      <c r="AF21" s="150">
        <f>'DATOS REFERENCIALES'!$C$11</f>
        <v>320</v>
      </c>
      <c r="AG21" s="94">
        <f>'DATOS REFERENCIALES'!$C$12</f>
        <v>210</v>
      </c>
      <c r="AH21" s="94">
        <f t="shared" si="10"/>
        <v>12502.566964285714</v>
      </c>
      <c r="AI21" s="13"/>
      <c r="AJ21" s="13"/>
      <c r="AK21" s="13"/>
      <c r="AL21" s="18"/>
      <c r="AM21" s="19"/>
      <c r="AN21" s="19"/>
      <c r="AR21" s="8"/>
    </row>
    <row r="22" spans="1:44" s="1" customFormat="1" ht="21.75" customHeight="1" x14ac:dyDescent="0.2">
      <c r="A22" s="89">
        <v>3565</v>
      </c>
      <c r="B22" s="100" t="s">
        <v>46</v>
      </c>
      <c r="C22" s="27">
        <v>0</v>
      </c>
      <c r="D22" s="27"/>
      <c r="E22" s="27"/>
      <c r="F22" s="27"/>
      <c r="G22" s="64">
        <v>810</v>
      </c>
      <c r="H22" s="47">
        <v>825</v>
      </c>
      <c r="I22" s="47"/>
      <c r="J22" s="47"/>
      <c r="K22" s="104">
        <f>H22*'DATOS REFERENCIALES'!$C$4</f>
        <v>4521</v>
      </c>
      <c r="L22" s="104"/>
      <c r="M22" s="104"/>
      <c r="N22" s="94">
        <f>LOOKUP(C22,'TABLA ANTIG.'!$A$4:$A$39,'TABLA ANTIG.'!$B$4:$B$39)*(K22)</f>
        <v>0</v>
      </c>
      <c r="O22" s="113">
        <f t="shared" si="1"/>
        <v>452.1</v>
      </c>
      <c r="P22" s="104">
        <f>'DATOS REFERENCIALES'!$C$8</f>
        <v>3640</v>
      </c>
      <c r="Q22" s="150">
        <f>LOOKUP(C22,'TABLA ANTIG.'!$A$4:$A$39,'TABLA ANTIG.'!$B$4:$B$39)*(P22)</f>
        <v>0</v>
      </c>
      <c r="R22" s="31">
        <v>0</v>
      </c>
      <c r="S22" s="31">
        <f t="shared" si="2"/>
        <v>8613.1</v>
      </c>
      <c r="T22" s="31">
        <f t="shared" si="3"/>
        <v>947.44100000000003</v>
      </c>
      <c r="U22" s="31">
        <f t="shared" si="4"/>
        <v>258.39300000000003</v>
      </c>
      <c r="V22" s="31">
        <f t="shared" si="4"/>
        <v>258.39300000000003</v>
      </c>
      <c r="W22" s="31">
        <f t="shared" si="5"/>
        <v>172.262</v>
      </c>
      <c r="X22" s="31">
        <f t="shared" si="6"/>
        <v>387.58949999999999</v>
      </c>
      <c r="Y22" s="31">
        <f t="shared" si="7"/>
        <v>2024.0785000000001</v>
      </c>
      <c r="Z22" s="94">
        <f t="shared" si="8"/>
        <v>6589.0215000000007</v>
      </c>
      <c r="AA22" s="168">
        <f>'DATOS REFERENCIALES'!$C$10</f>
        <v>1294</v>
      </c>
      <c r="AB22" s="94">
        <f>IF((IF(H22&gt;1119,('DATOS REFERENCIALES'!$C$9-(S22-T22-U22-V22-W22-X22+AA22)),(('DATOS REFERENCIALES'!$C$9/1120)*H22)-(K22+N22+O22+P22+Q22+R22-T22-U22-V22-W22-X22+AA22)))&lt;0,0,IF(H22&gt;1119,(('DATOS REFERENCIALES'!$C$9)-(S22-T22-U22-V22-W22-X22+AA22)),(('DATOS REFERENCIALES'!$C$9/1120)*H22)-(K22+N22+O22+P22+Q22+R22-T22-U22-V22-W22-X22+AA22)))</f>
        <v>2879.545464285713</v>
      </c>
      <c r="AC22" s="150">
        <f t="shared" si="9"/>
        <v>10762.566964285714</v>
      </c>
      <c r="AD22" s="106">
        <f>'DATOS REFERENCIALES'!$C$13</f>
        <v>1210</v>
      </c>
      <c r="AE22" s="308"/>
      <c r="AF22" s="150">
        <f>'DATOS REFERENCIALES'!$C$11</f>
        <v>320</v>
      </c>
      <c r="AG22" s="94">
        <f>'DATOS REFERENCIALES'!$C$12</f>
        <v>210</v>
      </c>
      <c r="AH22" s="94">
        <f t="shared" si="10"/>
        <v>12502.566964285714</v>
      </c>
      <c r="AI22" s="13"/>
      <c r="AJ22" s="13"/>
      <c r="AK22" s="18"/>
      <c r="AL22" s="19"/>
      <c r="AM22" s="19"/>
      <c r="AN22" s="19"/>
      <c r="AR22" s="8"/>
    </row>
    <row r="23" spans="1:44" s="1" customFormat="1" ht="21.75" customHeight="1" x14ac:dyDescent="0.2">
      <c r="A23" s="89">
        <v>3598</v>
      </c>
      <c r="B23" s="100" t="s">
        <v>45</v>
      </c>
      <c r="C23" s="27">
        <v>0</v>
      </c>
      <c r="D23" s="47">
        <v>1</v>
      </c>
      <c r="E23" s="27"/>
      <c r="F23" s="27"/>
      <c r="G23" s="64">
        <v>65</v>
      </c>
      <c r="H23" s="47">
        <f t="shared" si="0"/>
        <v>65</v>
      </c>
      <c r="I23" s="47"/>
      <c r="J23" s="47"/>
      <c r="K23" s="104">
        <f>(H23*'DATOS REFERENCIALES'!$C$4)*D23</f>
        <v>356.20000000000005</v>
      </c>
      <c r="L23" s="104"/>
      <c r="M23" s="104"/>
      <c r="N23" s="94">
        <f>LOOKUP(C23,'TABLA ANTIG.'!$A$4:$A$39,'TABLA ANTIG.'!$B$4:$B$39)*(K23)</f>
        <v>0</v>
      </c>
      <c r="O23" s="113">
        <f t="shared" si="1"/>
        <v>35.620000000000005</v>
      </c>
      <c r="P23" s="104">
        <f>IF(D23&gt;48,'DATOS REFERENCIALES'!$D$8+('DATOS REFERENCIALES'!$F$8*10),IF(D23&lt;39,'DATOS REFERENCIALES'!$E$8*D23,((D23-'DATOS REFERENCIALES'!$I$8)*'DATOS REFERENCIALES'!$F$8)+'DATOS REFERENCIALES'!$D$8))</f>
        <v>191.57</v>
      </c>
      <c r="Q23" s="150">
        <f>LOOKUP(C23,'TABLA ANTIG.'!$A$4:$A$39,'TABLA ANTIG.'!$B$4:$B$39)*(P23)</f>
        <v>0</v>
      </c>
      <c r="R23" s="31">
        <v>0</v>
      </c>
      <c r="S23" s="31">
        <f t="shared" si="2"/>
        <v>583.3900000000001</v>
      </c>
      <c r="T23" s="31">
        <f t="shared" si="3"/>
        <v>64.172900000000013</v>
      </c>
      <c r="U23" s="31">
        <f t="shared" si="4"/>
        <v>17.501700000000003</v>
      </c>
      <c r="V23" s="31">
        <f t="shared" si="4"/>
        <v>17.501700000000003</v>
      </c>
      <c r="W23" s="31">
        <f t="shared" si="5"/>
        <v>11.667800000000002</v>
      </c>
      <c r="X23" s="31">
        <f t="shared" si="6"/>
        <v>26.252550000000003</v>
      </c>
      <c r="Y23" s="31">
        <f t="shared" si="7"/>
        <v>137.09665000000001</v>
      </c>
      <c r="Z23" s="94">
        <f t="shared" si="8"/>
        <v>446.29335000000009</v>
      </c>
      <c r="AA23" s="168">
        <f>IF(D23&gt;38,'DATOS REFERENCIALES'!$D$10,'DATOS REFERENCIALES'!$E$10*D23)</f>
        <v>68.105000000000004</v>
      </c>
      <c r="AB23" s="94">
        <f>IF((IF(H23&gt;1119,('DATOS REFERENCIALES'!$C$9-(S23-T23-U23-V23-W23-X23+AA23)),(('DATOS REFERENCIALES'!$C$9/20)*D23)-(K23+N23+O23+P23+Q23+R23-T23-U23-V23-W23-X23+AA23)))&lt;0,0,IF(H23&gt;1119,(('DATOS REFERENCIALES'!$C$9)-(S23-T23-U23-V23-W23-X23+AA23)),(('DATOS REFERENCIALES'!$C$9/20)*D23)-(K23+N23+O23+P23+Q23+R23-T23-U23-V23-W23-X23+AA23)))</f>
        <v>216.1516499999999</v>
      </c>
      <c r="AC23" s="150">
        <f t="shared" si="9"/>
        <v>730.55</v>
      </c>
      <c r="AD23" s="106">
        <f>IF(D23&gt;'DATOS REFERENCIALES'!$K$13,'DATOS REFERENCIALES'!$D$13,'DATOS REFERENCIALES'!$G$13*D23)</f>
        <v>100.83329999999999</v>
      </c>
      <c r="AE23" s="308"/>
      <c r="AF23" s="150">
        <f>IF(D23&gt;'DATOS REFERENCIALES'!$K$11,'DATOS REFERENCIALES'!$D$11,'DATOS REFERENCIALES'!$G$11*D23)</f>
        <v>26.67</v>
      </c>
      <c r="AG23" s="94">
        <f>IF(D23&gt;'DATOS REFERENCIALES'!$K$12,'DATOS REFERENCIALES'!$D$12,'DATOS REFERENCIALES'!$G$12*D23)</f>
        <v>17.5</v>
      </c>
      <c r="AH23" s="94">
        <f t="shared" si="10"/>
        <v>875.55329999999992</v>
      </c>
      <c r="AI23" s="13"/>
      <c r="AJ23" s="13"/>
      <c r="AK23" s="18"/>
      <c r="AL23" s="19"/>
      <c r="AM23" s="19"/>
      <c r="AN23" s="19"/>
      <c r="AR23" s="8"/>
    </row>
    <row r="24" spans="1:44" s="1" customFormat="1" ht="21.75" customHeight="1" thickBot="1" x14ac:dyDescent="0.35">
      <c r="A24" s="90">
        <v>3598</v>
      </c>
      <c r="B24" s="101" t="s">
        <v>106</v>
      </c>
      <c r="C24" s="28">
        <v>0</v>
      </c>
      <c r="D24" s="69">
        <v>1</v>
      </c>
      <c r="E24" s="28"/>
      <c r="F24" s="28"/>
      <c r="G24" s="65">
        <v>65</v>
      </c>
      <c r="H24" s="69">
        <f t="shared" si="0"/>
        <v>65</v>
      </c>
      <c r="I24" s="69"/>
      <c r="J24" s="69"/>
      <c r="K24" s="105">
        <f>(H24*'DATOS REFERENCIALES'!$C$4)*D24</f>
        <v>356.20000000000005</v>
      </c>
      <c r="L24" s="105"/>
      <c r="M24" s="105"/>
      <c r="N24" s="95">
        <f>LOOKUP(C24,'TABLA ANTIG.'!$A$4:$A$39,'TABLA ANTIG.'!$B$4:$B$39)*(K24)</f>
        <v>0</v>
      </c>
      <c r="O24" s="114">
        <f t="shared" si="1"/>
        <v>35.620000000000005</v>
      </c>
      <c r="P24" s="105">
        <f>IF(D24&gt;48,'DATOS REFERENCIALES'!$D$8+('DATOS REFERENCIALES'!$F$8*10),IF(D24&lt;39,'DATOS REFERENCIALES'!$E$8*D24,((D24-'DATOS REFERENCIALES'!$I$8)*'DATOS REFERENCIALES'!$F$8)+'DATOS REFERENCIALES'!$D$8))</f>
        <v>191.57</v>
      </c>
      <c r="Q24" s="151">
        <f>LOOKUP(C24,'TABLA ANTIG.'!$A$4:$A$39,'TABLA ANTIG.'!$B$4:$B$39)*(P24)</f>
        <v>0</v>
      </c>
      <c r="R24" s="35">
        <v>0</v>
      </c>
      <c r="S24" s="35">
        <f t="shared" si="2"/>
        <v>583.3900000000001</v>
      </c>
      <c r="T24" s="35">
        <f t="shared" si="3"/>
        <v>64.172900000000013</v>
      </c>
      <c r="U24" s="35">
        <f t="shared" si="4"/>
        <v>17.501700000000003</v>
      </c>
      <c r="V24" s="35">
        <f t="shared" si="4"/>
        <v>17.501700000000003</v>
      </c>
      <c r="W24" s="35">
        <f t="shared" si="5"/>
        <v>11.667800000000002</v>
      </c>
      <c r="X24" s="35">
        <f t="shared" si="6"/>
        <v>26.252550000000003</v>
      </c>
      <c r="Y24" s="35">
        <f t="shared" si="7"/>
        <v>137.09665000000001</v>
      </c>
      <c r="Z24" s="95">
        <f t="shared" si="8"/>
        <v>446.29335000000009</v>
      </c>
      <c r="AA24" s="171">
        <f>IF(D24&gt;38,'DATOS REFERENCIALES'!$D$10,'DATOS REFERENCIALES'!$E$10*D24)</f>
        <v>68.105000000000004</v>
      </c>
      <c r="AB24" s="95">
        <f>IF((IF(H24&gt;1119,('DATOS REFERENCIALES'!$C$9-(S24-T24-U24-V24-W24-X24+AA24)),(('DATOS REFERENCIALES'!$C$9/20)*D24)-(K24+N24+O24+P24+Q24+R24-T24-U24-V24-W24-X24+AA24)))&lt;0,0,IF(H24&gt;1119,(('DATOS REFERENCIALES'!$C$9)-(S24-T24-U24-V24-W24-X24+AA24)),(('DATOS REFERENCIALES'!$C$9/20)*D24)-(K24+N24+O24+P24+Q24+R24-T24-U24-V24-W24-X24+AA24)))</f>
        <v>216.1516499999999</v>
      </c>
      <c r="AC24" s="151">
        <f t="shared" si="9"/>
        <v>730.55</v>
      </c>
      <c r="AD24" s="107">
        <f>IF(D24&gt;'DATOS REFERENCIALES'!$K$13,'DATOS REFERENCIALES'!$D$13,'DATOS REFERENCIALES'!$G$13*D24)</f>
        <v>100.83329999999999</v>
      </c>
      <c r="AE24" s="306"/>
      <c r="AF24" s="151">
        <f>IF(D24&gt;'DATOS REFERENCIALES'!$K$11,'DATOS REFERENCIALES'!$D$11,'DATOS REFERENCIALES'!$G$11*D24)</f>
        <v>26.67</v>
      </c>
      <c r="AG24" s="95">
        <f>IF(D24&gt;'DATOS REFERENCIALES'!$K$12,'DATOS REFERENCIALES'!$D$12,'DATOS REFERENCIALES'!$G$12*D24)</f>
        <v>17.5</v>
      </c>
      <c r="AH24" s="95">
        <f t="shared" si="10"/>
        <v>875.55329999999992</v>
      </c>
      <c r="AI24" s="38"/>
      <c r="AJ24" s="18"/>
      <c r="AK24" s="19"/>
      <c r="AL24" s="13"/>
      <c r="AM24" s="19"/>
      <c r="AN24" s="19"/>
      <c r="AR24" s="8"/>
    </row>
    <row r="25" spans="1:44" s="1" customFormat="1" ht="21.75" customHeight="1" thickBot="1" x14ac:dyDescent="0.35">
      <c r="A25" s="147"/>
      <c r="B25" s="85"/>
      <c r="C25" s="86"/>
      <c r="D25" s="86"/>
      <c r="E25" s="86"/>
      <c r="F25" s="86"/>
      <c r="G25" s="80"/>
      <c r="H25" s="56"/>
      <c r="I25" s="56"/>
      <c r="J25" s="56"/>
      <c r="K25" s="53"/>
      <c r="L25" s="53"/>
      <c r="M25" s="53"/>
      <c r="N25" s="54"/>
      <c r="O25" s="87"/>
      <c r="P25" s="53"/>
      <c r="Q25" s="54"/>
      <c r="R25" s="87"/>
      <c r="S25" s="87"/>
      <c r="T25" s="87"/>
      <c r="U25" s="87"/>
      <c r="V25" s="87"/>
      <c r="W25" s="87"/>
      <c r="X25" s="87"/>
      <c r="Y25" s="87"/>
      <c r="Z25" s="57"/>
      <c r="AA25" s="57"/>
      <c r="AB25" s="57"/>
      <c r="AC25" s="57"/>
      <c r="AD25" s="59"/>
      <c r="AE25" s="59"/>
      <c r="AF25" s="57"/>
      <c r="AG25" s="57"/>
      <c r="AH25" s="57"/>
      <c r="AI25" s="38"/>
      <c r="AJ25" s="18"/>
      <c r="AK25" s="19"/>
      <c r="AL25" s="13"/>
      <c r="AM25" s="19"/>
      <c r="AN25" s="19"/>
      <c r="AR25" s="8"/>
    </row>
    <row r="26" spans="1:44" s="1" customFormat="1" ht="21" thickBot="1" x14ac:dyDescent="0.35">
      <c r="A26" s="109" t="s">
        <v>144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09" t="s">
        <v>144</v>
      </c>
      <c r="AD26" s="110"/>
      <c r="AE26" s="110"/>
      <c r="AF26" s="110"/>
      <c r="AG26" s="110"/>
      <c r="AH26" s="110"/>
      <c r="AI26" s="13"/>
      <c r="AJ26" s="13"/>
      <c r="AK26" s="13"/>
      <c r="AL26" s="18"/>
      <c r="AM26" s="19"/>
      <c r="AN26" s="19"/>
    </row>
    <row r="27" spans="1:44" s="2" customFormat="1" ht="12.75" customHeight="1" thickBot="1" x14ac:dyDescent="0.25">
      <c r="A27" s="623" t="s">
        <v>1</v>
      </c>
      <c r="B27" s="623" t="s">
        <v>0</v>
      </c>
      <c r="C27" s="585" t="s">
        <v>83</v>
      </c>
      <c r="D27" s="585" t="s">
        <v>126</v>
      </c>
      <c r="E27" s="585" t="s">
        <v>134</v>
      </c>
      <c r="F27" s="585" t="s">
        <v>120</v>
      </c>
      <c r="G27" s="585" t="s">
        <v>109</v>
      </c>
      <c r="H27" s="585" t="s">
        <v>85</v>
      </c>
      <c r="I27" s="585" t="s">
        <v>156</v>
      </c>
      <c r="J27" s="602" t="s">
        <v>155</v>
      </c>
      <c r="K27" s="611" t="s">
        <v>128</v>
      </c>
      <c r="L27" s="611" t="s">
        <v>154</v>
      </c>
      <c r="M27" s="611" t="s">
        <v>155</v>
      </c>
      <c r="N27" s="596" t="s">
        <v>91</v>
      </c>
      <c r="O27" s="596" t="s">
        <v>127</v>
      </c>
      <c r="P27" s="611" t="s">
        <v>92</v>
      </c>
      <c r="Q27" s="596" t="s">
        <v>108</v>
      </c>
      <c r="R27" s="596" t="s">
        <v>90</v>
      </c>
      <c r="S27" s="596" t="s">
        <v>74</v>
      </c>
      <c r="T27" s="633" t="s">
        <v>63</v>
      </c>
      <c r="U27" s="634"/>
      <c r="V27" s="634"/>
      <c r="W27" s="634"/>
      <c r="X27" s="634"/>
      <c r="Y27" s="618" t="s">
        <v>73</v>
      </c>
      <c r="Z27" s="585" t="s">
        <v>95</v>
      </c>
      <c r="AA27" s="585" t="s">
        <v>94</v>
      </c>
      <c r="AB27" s="585" t="s">
        <v>93</v>
      </c>
      <c r="AC27" s="585" t="s">
        <v>97</v>
      </c>
      <c r="AD27" s="585" t="s">
        <v>96</v>
      </c>
      <c r="AE27" s="585" t="s">
        <v>182</v>
      </c>
      <c r="AF27" s="585" t="s">
        <v>107</v>
      </c>
      <c r="AG27" s="618" t="s">
        <v>153</v>
      </c>
      <c r="AH27" s="585" t="s">
        <v>98</v>
      </c>
      <c r="AI27" s="17"/>
      <c r="AJ27" s="17"/>
      <c r="AK27" s="17"/>
      <c r="AL27" s="18"/>
      <c r="AM27" s="19"/>
      <c r="AN27" s="19"/>
    </row>
    <row r="28" spans="1:44" s="2" customFormat="1" ht="89.25" customHeight="1" thickBot="1" x14ac:dyDescent="0.25">
      <c r="A28" s="624"/>
      <c r="B28" s="624"/>
      <c r="C28" s="586"/>
      <c r="D28" s="586"/>
      <c r="E28" s="586"/>
      <c r="F28" s="586"/>
      <c r="G28" s="586"/>
      <c r="H28" s="586"/>
      <c r="I28" s="586"/>
      <c r="J28" s="603"/>
      <c r="K28" s="612"/>
      <c r="L28" s="612"/>
      <c r="M28" s="612"/>
      <c r="N28" s="597"/>
      <c r="O28" s="597"/>
      <c r="P28" s="612"/>
      <c r="Q28" s="597"/>
      <c r="R28" s="597"/>
      <c r="S28" s="597"/>
      <c r="T28" s="92" t="s">
        <v>148</v>
      </c>
      <c r="U28" s="119" t="s">
        <v>65</v>
      </c>
      <c r="V28" s="119" t="s">
        <v>66</v>
      </c>
      <c r="W28" s="119" t="s">
        <v>67</v>
      </c>
      <c r="X28" s="119" t="s">
        <v>68</v>
      </c>
      <c r="Y28" s="632"/>
      <c r="Z28" s="586"/>
      <c r="AA28" s="586"/>
      <c r="AB28" s="586"/>
      <c r="AC28" s="586"/>
      <c r="AD28" s="586"/>
      <c r="AE28" s="586"/>
      <c r="AF28" s="586"/>
      <c r="AG28" s="586"/>
      <c r="AH28" s="586"/>
      <c r="AI28" s="17"/>
      <c r="AJ28" s="17"/>
      <c r="AK28" s="17"/>
      <c r="AL28" s="18"/>
      <c r="AM28" s="19"/>
      <c r="AN28" s="19"/>
    </row>
    <row r="29" spans="1:44" s="5" customFormat="1" ht="21.75" customHeight="1" x14ac:dyDescent="0.2">
      <c r="A29" s="402">
        <v>3503</v>
      </c>
      <c r="B29" s="555" t="s">
        <v>25</v>
      </c>
      <c r="C29" s="374">
        <v>0</v>
      </c>
      <c r="D29" s="556"/>
      <c r="E29" s="556"/>
      <c r="F29" s="556"/>
      <c r="G29" s="446">
        <v>3422</v>
      </c>
      <c r="H29" s="374">
        <f>SUM(G29:G29)</f>
        <v>3422</v>
      </c>
      <c r="I29" s="374"/>
      <c r="J29" s="374"/>
      <c r="K29" s="379">
        <f>H29*'DATOS REFERENCIALES'!$C$4</f>
        <v>18752.560000000001</v>
      </c>
      <c r="L29" s="379"/>
      <c r="M29" s="379"/>
      <c r="N29" s="381">
        <f>LOOKUP(C29,'TABLA ANTIG.'!$A$4:$A$39,'TABLA ANTIG.'!$B$4:$B$39)*(K29)</f>
        <v>0</v>
      </c>
      <c r="O29" s="381">
        <f>K29*0.1</f>
        <v>1875.2560000000003</v>
      </c>
      <c r="P29" s="379">
        <f>'DATOS REFERENCIALES'!$C$8</f>
        <v>3640</v>
      </c>
      <c r="Q29" s="381">
        <f>LOOKUP(C29,'TABLA ANTIG.'!$A$4:$A$39,'TABLA ANTIG.'!$B$4:$B$39)*(P29)</f>
        <v>0</v>
      </c>
      <c r="R29" s="557">
        <v>0</v>
      </c>
      <c r="S29" s="558">
        <f>K29+N29+O29+P29+Q29+R29</f>
        <v>24267.816000000003</v>
      </c>
      <c r="T29" s="559">
        <f t="shared" ref="T29:T35" si="11">$S29*11%</f>
        <v>2669.4597600000002</v>
      </c>
      <c r="U29" s="557">
        <f t="shared" ref="U29:V35" si="12">$S29*3%</f>
        <v>728.03448000000003</v>
      </c>
      <c r="V29" s="557">
        <f t="shared" si="12"/>
        <v>728.03448000000003</v>
      </c>
      <c r="W29" s="557">
        <f t="shared" ref="W29:W35" si="13">$S29*2%</f>
        <v>485.35632000000004</v>
      </c>
      <c r="X29" s="557">
        <f t="shared" ref="X29:X35" si="14">$S29*4.5%</f>
        <v>1092.0517200000002</v>
      </c>
      <c r="Y29" s="381">
        <f t="shared" ref="Y29:Y35" si="15">SUM(T29:X29)</f>
        <v>5702.9367600000005</v>
      </c>
      <c r="Z29" s="557">
        <f t="shared" ref="Z29:Z35" si="16">S29-Y29</f>
        <v>18564.879240000002</v>
      </c>
      <c r="AA29" s="381">
        <f>'DATOS REFERENCIALES'!$C$10</f>
        <v>1294</v>
      </c>
      <c r="AB29" s="381">
        <f>IF((IF(H29&gt;1119,('DATOS REFERENCIALES'!$C$9-(S29-T29-U29-V29-W29-X29+AA29)),(('DATOS REFERENCIALES'!$C$9/1120)*H29)-(K29+N29+O29+P29+Q29+R29-T29-U29-V29-W29-X29+AA29)))&lt;0,0,IF(H29&gt;1119,(('DATOS REFERENCIALES'!$C$9)-(S29-T29-U29-V29-W29-X29+AA29)),(('DATOS REFERENCIALES'!$C$9/1120)*H29)-(K29+N29+O29+P29+Q29+R29-T29-U29-V29-W29-X29+AA29)))</f>
        <v>0</v>
      </c>
      <c r="AC29" s="557">
        <f t="shared" ref="AC29:AC35" si="17">SUM(Z29:AB29)</f>
        <v>19858.879240000002</v>
      </c>
      <c r="AD29" s="386">
        <f>'DATOS REFERENCIALES'!$C$13</f>
        <v>1210</v>
      </c>
      <c r="AE29" s="408"/>
      <c r="AF29" s="385">
        <f>'DATOS REFERENCIALES'!$C$11</f>
        <v>320</v>
      </c>
      <c r="AG29" s="381">
        <f>'DATOS REFERENCIALES'!$C$12</f>
        <v>210</v>
      </c>
      <c r="AH29" s="583">
        <f>SUM(AC29:AG29)+SUM(AC30:AG30)</f>
        <v>22782.400183000002</v>
      </c>
      <c r="AI29" s="24"/>
      <c r="AJ29" s="24"/>
      <c r="AK29" s="24"/>
      <c r="AL29" s="18"/>
      <c r="AM29" s="19"/>
      <c r="AN29" s="19"/>
      <c r="AR29" s="8"/>
    </row>
    <row r="30" spans="1:44" s="5" customFormat="1" ht="26.25" customHeight="1" thickBot="1" x14ac:dyDescent="0.25">
      <c r="A30" s="409">
        <v>3503</v>
      </c>
      <c r="B30" s="560" t="s">
        <v>25</v>
      </c>
      <c r="C30" s="389">
        <f>IF(C29&gt;0,C29,0)</f>
        <v>0</v>
      </c>
      <c r="D30" s="561"/>
      <c r="E30" s="561"/>
      <c r="F30" s="561"/>
      <c r="G30" s="448"/>
      <c r="H30" s="389"/>
      <c r="I30" s="389">
        <v>256.64999999999998</v>
      </c>
      <c r="J30" s="393"/>
      <c r="K30" s="394"/>
      <c r="L30" s="394">
        <f>I30*'DATOS REFERENCIALES'!$C$4</f>
        <v>1406.442</v>
      </c>
      <c r="M30" s="394"/>
      <c r="N30" s="396">
        <f>LOOKUP(C30,'TABLA ANTIG.'!$A$4:$A$39,'TABLA ANTIG.'!$B$4:$B$39)*(L30+M30)</f>
        <v>0</v>
      </c>
      <c r="O30" s="396">
        <f>(L30+M30)*0.1</f>
        <v>140.64420000000001</v>
      </c>
      <c r="P30" s="394"/>
      <c r="Q30" s="396"/>
      <c r="R30" s="396"/>
      <c r="S30" s="562">
        <f>L30+M30+N30+O30+P30+Q30+R30</f>
        <v>1547.0862</v>
      </c>
      <c r="T30" s="395">
        <f t="shared" si="11"/>
        <v>170.17948200000001</v>
      </c>
      <c r="U30" s="396">
        <f t="shared" si="12"/>
        <v>46.412585999999997</v>
      </c>
      <c r="V30" s="399">
        <f t="shared" si="12"/>
        <v>46.412585999999997</v>
      </c>
      <c r="W30" s="396">
        <f t="shared" si="13"/>
        <v>30.941724000000001</v>
      </c>
      <c r="X30" s="396">
        <f t="shared" si="14"/>
        <v>69.618878999999993</v>
      </c>
      <c r="Y30" s="396">
        <f t="shared" si="15"/>
        <v>363.56525700000003</v>
      </c>
      <c r="Z30" s="400">
        <f t="shared" si="16"/>
        <v>1183.520943</v>
      </c>
      <c r="AA30" s="396"/>
      <c r="AB30" s="396"/>
      <c r="AC30" s="395">
        <f t="shared" si="17"/>
        <v>1183.520943</v>
      </c>
      <c r="AD30" s="401"/>
      <c r="AE30" s="414"/>
      <c r="AF30" s="395"/>
      <c r="AG30" s="396"/>
      <c r="AH30" s="584"/>
      <c r="AI30" s="24"/>
      <c r="AJ30" s="24"/>
      <c r="AK30" s="24"/>
      <c r="AL30" s="18"/>
      <c r="AM30" s="19"/>
      <c r="AN30" s="19"/>
      <c r="AR30" s="8"/>
    </row>
    <row r="31" spans="1:44" s="5" customFormat="1" ht="21.75" customHeight="1" x14ac:dyDescent="0.2">
      <c r="A31" s="433">
        <v>3504</v>
      </c>
      <c r="B31" s="563" t="s">
        <v>40</v>
      </c>
      <c r="C31" s="312">
        <v>0</v>
      </c>
      <c r="D31" s="564"/>
      <c r="E31" s="564"/>
      <c r="F31" s="564"/>
      <c r="G31" s="313">
        <v>2874</v>
      </c>
      <c r="H31" s="312">
        <f>SUM(G31:G31)</f>
        <v>2874</v>
      </c>
      <c r="I31" s="312"/>
      <c r="J31" s="312"/>
      <c r="K31" s="314">
        <f>H31*'DATOS REFERENCIALES'!$C$4</f>
        <v>15749.52</v>
      </c>
      <c r="L31" s="314"/>
      <c r="M31" s="314"/>
      <c r="N31" s="316">
        <f>LOOKUP(C31,'TABLA ANTIG.'!$A$4:$A$39,'TABLA ANTIG.'!$B$4:$B$39)*(K31)</f>
        <v>0</v>
      </c>
      <c r="O31" s="316">
        <f>K31*0.1</f>
        <v>1574.9520000000002</v>
      </c>
      <c r="P31" s="314">
        <f>'DATOS REFERENCIALES'!$C$8</f>
        <v>3640</v>
      </c>
      <c r="Q31" s="316">
        <f>LOOKUP(C31,'TABLA ANTIG.'!$A$4:$A$39,'TABLA ANTIG.'!$B$4:$B$39)*(P31)</f>
        <v>0</v>
      </c>
      <c r="R31" s="565">
        <v>0</v>
      </c>
      <c r="S31" s="566">
        <f>K31+N31+O31+P31+Q31+R31</f>
        <v>20964.472000000002</v>
      </c>
      <c r="T31" s="567">
        <f t="shared" si="11"/>
        <v>2306.0919200000003</v>
      </c>
      <c r="U31" s="565">
        <f t="shared" si="12"/>
        <v>628.93416000000002</v>
      </c>
      <c r="V31" s="565">
        <f t="shared" si="12"/>
        <v>628.93416000000002</v>
      </c>
      <c r="W31" s="565">
        <f t="shared" si="13"/>
        <v>419.28944000000001</v>
      </c>
      <c r="X31" s="565">
        <f t="shared" si="14"/>
        <v>943.40124000000003</v>
      </c>
      <c r="Y31" s="316">
        <f t="shared" si="15"/>
        <v>4926.65092</v>
      </c>
      <c r="Z31" s="565">
        <f t="shared" si="16"/>
        <v>16037.821080000002</v>
      </c>
      <c r="AA31" s="316">
        <f>'DATOS REFERENCIALES'!$C$10</f>
        <v>1294</v>
      </c>
      <c r="AB31" s="316">
        <f>IF((IF(H31&gt;1119,('DATOS REFERENCIALES'!$C$9-(S31-T31-U31-V31-W31-X31+AA31)),(('DATOS REFERENCIALES'!$C$9/1120)*H31)-(K31+N31+O31+P31+Q31+R31-T31-U31-V31-W31-X31+AA31)))&lt;0,0,IF(H31&gt;1119,(('DATOS REFERENCIALES'!$C$9)-(S31-T31-U31-V31-W31-X31+AA31)),(('DATOS REFERENCIALES'!$C$9/1120)*H31)-(K31+N31+O31+P31+Q31+R31-T31-U31-V31-W31-X31+AA31)))</f>
        <v>0</v>
      </c>
      <c r="AC31" s="565">
        <f t="shared" si="17"/>
        <v>17331.821080000002</v>
      </c>
      <c r="AD31" s="321">
        <f>'DATOS REFERENCIALES'!$C$13</f>
        <v>1210</v>
      </c>
      <c r="AE31" s="438"/>
      <c r="AF31" s="318">
        <f>'DATOS REFERENCIALES'!$C$11</f>
        <v>320</v>
      </c>
      <c r="AG31" s="316">
        <f>'DATOS REFERENCIALES'!$C$12</f>
        <v>210</v>
      </c>
      <c r="AH31" s="579">
        <f>SUM(AC31:AG31)+SUM(AC32:AG32)</f>
        <v>20065.812661</v>
      </c>
      <c r="AI31" s="24"/>
      <c r="AJ31" s="24"/>
      <c r="AK31" s="24"/>
      <c r="AL31" s="18"/>
      <c r="AM31" s="19"/>
      <c r="AN31" s="19"/>
      <c r="AR31" s="8"/>
    </row>
    <row r="32" spans="1:44" s="5" customFormat="1" ht="21.75" customHeight="1" thickBot="1" x14ac:dyDescent="0.25">
      <c r="A32" s="439">
        <v>3504</v>
      </c>
      <c r="B32" s="568" t="s">
        <v>40</v>
      </c>
      <c r="C32" s="324">
        <f>IF(C31&gt;0,C31,0)</f>
        <v>0</v>
      </c>
      <c r="D32" s="569"/>
      <c r="E32" s="569"/>
      <c r="F32" s="569"/>
      <c r="G32" s="457"/>
      <c r="H32" s="365"/>
      <c r="I32" s="365">
        <v>215.55</v>
      </c>
      <c r="J32" s="458"/>
      <c r="K32" s="369"/>
      <c r="L32" s="369">
        <f>I32*'DATOS REFERENCIALES'!$C$4</f>
        <v>1181.2140000000002</v>
      </c>
      <c r="M32" s="369"/>
      <c r="N32" s="336">
        <f>LOOKUP(C32,'TABLA ANTIG.'!$A$4:$A$39,'TABLA ANTIG.'!$B$4:$B$39)*(L32+M32)</f>
        <v>0</v>
      </c>
      <c r="O32" s="336">
        <f>(L32+M32)*0.1</f>
        <v>118.12140000000002</v>
      </c>
      <c r="P32" s="369"/>
      <c r="Q32" s="336"/>
      <c r="R32" s="336"/>
      <c r="S32" s="570">
        <f>L32+M32+N32+O32+P32+Q32+R32</f>
        <v>1299.3354000000002</v>
      </c>
      <c r="T32" s="333">
        <f t="shared" si="11"/>
        <v>142.92689400000003</v>
      </c>
      <c r="U32" s="336">
        <f t="shared" si="12"/>
        <v>38.980062000000004</v>
      </c>
      <c r="V32" s="370">
        <f t="shared" si="12"/>
        <v>38.980062000000004</v>
      </c>
      <c r="W32" s="336">
        <f t="shared" si="13"/>
        <v>25.986708000000004</v>
      </c>
      <c r="X32" s="336">
        <f t="shared" si="14"/>
        <v>58.470093000000006</v>
      </c>
      <c r="Y32" s="336">
        <f t="shared" si="15"/>
        <v>305.34381900000005</v>
      </c>
      <c r="Z32" s="371">
        <f t="shared" si="16"/>
        <v>993.99158100000011</v>
      </c>
      <c r="AA32" s="336"/>
      <c r="AB32" s="336"/>
      <c r="AC32" s="333">
        <f t="shared" si="17"/>
        <v>993.99158100000011</v>
      </c>
      <c r="AD32" s="571"/>
      <c r="AE32" s="472"/>
      <c r="AF32" s="333"/>
      <c r="AG32" s="336"/>
      <c r="AH32" s="580"/>
      <c r="AI32" s="24"/>
      <c r="AJ32" s="24"/>
      <c r="AK32" s="24"/>
      <c r="AL32" s="18"/>
      <c r="AM32" s="19"/>
      <c r="AN32" s="19"/>
      <c r="AR32" s="8"/>
    </row>
    <row r="33" spans="1:44" s="5" customFormat="1" ht="21.75" customHeight="1" x14ac:dyDescent="0.2">
      <c r="A33" s="181">
        <v>3582</v>
      </c>
      <c r="B33" s="285" t="s">
        <v>44</v>
      </c>
      <c r="C33" s="282">
        <v>0</v>
      </c>
      <c r="D33" s="282"/>
      <c r="E33" s="282"/>
      <c r="F33" s="282"/>
      <c r="G33" s="184">
        <v>952</v>
      </c>
      <c r="H33" s="139">
        <f>SUM(G33:G33)</f>
        <v>952</v>
      </c>
      <c r="I33" s="139"/>
      <c r="J33" s="139"/>
      <c r="K33" s="283">
        <f>H33*'DATOS REFERENCIALES'!$C$4</f>
        <v>5216.96</v>
      </c>
      <c r="L33" s="283"/>
      <c r="M33" s="283"/>
      <c r="N33" s="122">
        <f>LOOKUP(C33,'TABLA ANTIG.'!$A$4:$A$39,'TABLA ANTIG.'!$B$4:$B$39)*(K33)</f>
        <v>0</v>
      </c>
      <c r="O33" s="122">
        <f>K33*0.1</f>
        <v>521.69600000000003</v>
      </c>
      <c r="P33" s="283">
        <f>'DATOS REFERENCIALES'!$C$8</f>
        <v>3640</v>
      </c>
      <c r="Q33" s="122">
        <f>LOOKUP(C33,'TABLA ANTIG.'!$A$4:$A$39,'TABLA ANTIG.'!$B$4:$B$39)*(P33)</f>
        <v>0</v>
      </c>
      <c r="R33" s="284">
        <v>0</v>
      </c>
      <c r="S33" s="291">
        <f>K33+N33+O33+P33+Q33+R33</f>
        <v>9378.655999999999</v>
      </c>
      <c r="T33" s="288">
        <f t="shared" si="11"/>
        <v>1031.6521599999999</v>
      </c>
      <c r="U33" s="284">
        <f t="shared" si="12"/>
        <v>281.35967999999997</v>
      </c>
      <c r="V33" s="284">
        <f t="shared" si="12"/>
        <v>281.35967999999997</v>
      </c>
      <c r="W33" s="284">
        <f t="shared" si="13"/>
        <v>187.57311999999999</v>
      </c>
      <c r="X33" s="284">
        <f t="shared" si="14"/>
        <v>422.03951999999992</v>
      </c>
      <c r="Y33" s="122">
        <f t="shared" si="15"/>
        <v>2203.98416</v>
      </c>
      <c r="Z33" s="284">
        <f t="shared" si="16"/>
        <v>7174.6718399999991</v>
      </c>
      <c r="AA33" s="122">
        <f>'DATOS REFERENCIALES'!$C$10</f>
        <v>1294</v>
      </c>
      <c r="AB33" s="122">
        <f>IF((IF(H33&gt;1119,('DATOS REFERENCIALES'!$C$9-(S33-T33-U33-V33-W33-X33+AA33)),(('DATOS REFERENCIALES'!$C$9/1120)*H33)-(K33+N33+O33+P33+Q33+R33-T33-U33-V33-W33-X33+AA33)))&lt;0,0,IF(H33&gt;1119,(('DATOS REFERENCIALES'!$C$9)-(S33-T33-U33-V33-W33-X33+AA33)),(('DATOS REFERENCIALES'!$C$9/1120)*H33)-(K33+N33+O33+P33+Q33+R33-T33-U33-V33-W33-X33+AA33)))</f>
        <v>3950.6781600000013</v>
      </c>
      <c r="AC33" s="284">
        <f t="shared" si="17"/>
        <v>12419.35</v>
      </c>
      <c r="AD33" s="572">
        <f>'DATOS REFERENCIALES'!$C$13</f>
        <v>1210</v>
      </c>
      <c r="AE33" s="305"/>
      <c r="AF33" s="167">
        <f>'DATOS REFERENCIALES'!$C$11</f>
        <v>320</v>
      </c>
      <c r="AG33" s="122">
        <f>'DATOS REFERENCIALES'!$C$12</f>
        <v>210</v>
      </c>
      <c r="AH33" s="122">
        <f>SUM(AC33:AG33)</f>
        <v>14159.35</v>
      </c>
      <c r="AI33" s="24"/>
      <c r="AJ33" s="24"/>
      <c r="AK33" s="24"/>
      <c r="AL33" s="18"/>
      <c r="AM33" s="19"/>
      <c r="AN33" s="19"/>
      <c r="AR33" s="8"/>
    </row>
    <row r="34" spans="1:44" s="1" customFormat="1" ht="21.75" customHeight="1" x14ac:dyDescent="0.2">
      <c r="A34" s="89">
        <v>455</v>
      </c>
      <c r="B34" s="286" t="s">
        <v>55</v>
      </c>
      <c r="C34" s="29">
        <v>0</v>
      </c>
      <c r="D34" s="29"/>
      <c r="E34" s="29"/>
      <c r="F34" s="29"/>
      <c r="G34" s="64">
        <v>2264</v>
      </c>
      <c r="H34" s="47">
        <f>SUM(G34:G34)</f>
        <v>2264</v>
      </c>
      <c r="I34" s="47"/>
      <c r="J34" s="47"/>
      <c r="K34" s="135">
        <f>H34*'DATOS REFERENCIALES'!$C$4</f>
        <v>12406.720000000001</v>
      </c>
      <c r="L34" s="135"/>
      <c r="M34" s="135"/>
      <c r="N34" s="94">
        <f>LOOKUP(C34,'TABLA ANTIG.'!$A$4:$A$39,'TABLA ANTIG.'!$B$4:$B$39)*(K34)</f>
        <v>0</v>
      </c>
      <c r="O34" s="94">
        <f>K34*0.1</f>
        <v>1240.6720000000003</v>
      </c>
      <c r="P34" s="135">
        <f>'DATOS REFERENCIALES'!$D$8</f>
        <v>7280</v>
      </c>
      <c r="Q34" s="94">
        <f>LOOKUP(C34,'TABLA ANTIG.'!$A$4:$A$39,'TABLA ANTIG.'!$B$4:$B$39)*(P34)</f>
        <v>0</v>
      </c>
      <c r="R34" s="137">
        <v>0</v>
      </c>
      <c r="S34" s="241">
        <f>K34+N34+O34+P34+Q34+R34</f>
        <v>20927.392</v>
      </c>
      <c r="T34" s="289">
        <f t="shared" si="11"/>
        <v>2302.0131200000001</v>
      </c>
      <c r="U34" s="137">
        <f t="shared" si="12"/>
        <v>627.82175999999993</v>
      </c>
      <c r="V34" s="137">
        <f t="shared" si="12"/>
        <v>627.82175999999993</v>
      </c>
      <c r="W34" s="137">
        <f t="shared" si="13"/>
        <v>418.54784000000001</v>
      </c>
      <c r="X34" s="137">
        <f t="shared" si="14"/>
        <v>941.73263999999995</v>
      </c>
      <c r="Y34" s="94">
        <f t="shared" si="15"/>
        <v>4917.9371199999996</v>
      </c>
      <c r="Z34" s="137">
        <f t="shared" si="16"/>
        <v>16009.454880000001</v>
      </c>
      <c r="AA34" s="94">
        <f>'DATOS REFERENCIALES'!D10</f>
        <v>2588</v>
      </c>
      <c r="AB34" s="94">
        <f>IF((IF(H34&gt;2240,('DATOS REFERENCIALES'!$D$9-(S34-T34-U34-V34-W34-X34+AA34)),(('DATOS REFERENCIALES'!$D$9/2240)*2240)-(K34+N34+O34+P34+Q34+R34-T34-U34-V34-W34-X34+AA34)))&lt;0,0,IF(2240&gt;2240,(('DATOS REFERENCIALES'!$D$9)-(S34-T34-U34-V34-W34-X34+AA34)),(('DATOS REFERENCIALES'!$D$9/2240)*2240)-(K34+N34+O34+P34+Q34+R34-T34-U34-V34-W34-X34+AA34)))</f>
        <v>10624.545119999995</v>
      </c>
      <c r="AC34" s="137">
        <f t="shared" si="17"/>
        <v>29221.999999999996</v>
      </c>
      <c r="AD34" s="578">
        <f>'DATOS REFERENCIALES'!D13</f>
        <v>2420</v>
      </c>
      <c r="AE34" s="308"/>
      <c r="AF34" s="150">
        <f>'DATOS REFERENCIALES'!D11</f>
        <v>640</v>
      </c>
      <c r="AG34" s="94">
        <f>'DATOS REFERENCIALES'!$D$12</f>
        <v>420</v>
      </c>
      <c r="AH34" s="94">
        <f>SUM(AC34:AF34)</f>
        <v>32281.999999999996</v>
      </c>
      <c r="AI34" s="13"/>
      <c r="AJ34" s="13"/>
      <c r="AK34" s="13"/>
      <c r="AL34" s="18"/>
      <c r="AM34" s="19"/>
      <c r="AN34" s="19"/>
      <c r="AR34" s="8"/>
    </row>
    <row r="35" spans="1:44" s="1" customFormat="1" ht="21.75" customHeight="1" thickBot="1" x14ac:dyDescent="0.25">
      <c r="A35" s="90">
        <v>3525</v>
      </c>
      <c r="B35" s="287" t="s">
        <v>27</v>
      </c>
      <c r="C35" s="30">
        <v>0</v>
      </c>
      <c r="D35" s="30"/>
      <c r="E35" s="30"/>
      <c r="F35" s="30"/>
      <c r="G35" s="65">
        <v>2204</v>
      </c>
      <c r="H35" s="69">
        <v>2500</v>
      </c>
      <c r="I35" s="69"/>
      <c r="J35" s="69"/>
      <c r="K35" s="136">
        <f>H35*'DATOS REFERENCIALES'!$C$4</f>
        <v>13700.000000000002</v>
      </c>
      <c r="L35" s="136"/>
      <c r="M35" s="136"/>
      <c r="N35" s="95">
        <f>LOOKUP(C35,'TABLA ANTIG.'!$A$4:$A$39,'TABLA ANTIG.'!$B$4:$B$39)*(K35)</f>
        <v>0</v>
      </c>
      <c r="O35" s="95">
        <f>K35*0.1</f>
        <v>1370.0000000000002</v>
      </c>
      <c r="P35" s="136">
        <f>'DATOS REFERENCIALES'!$C$8</f>
        <v>3640</v>
      </c>
      <c r="Q35" s="95">
        <f>LOOKUP(C35,'TABLA ANTIG.'!$A$4:$A$39,'TABLA ANTIG.'!$B$4:$B$39)*(P35)</f>
        <v>0</v>
      </c>
      <c r="R35" s="138">
        <v>0</v>
      </c>
      <c r="S35" s="231">
        <f>K35+N35+O35+P35+Q35+R35</f>
        <v>18710</v>
      </c>
      <c r="T35" s="290">
        <f t="shared" si="11"/>
        <v>2058.1</v>
      </c>
      <c r="U35" s="138">
        <f t="shared" si="12"/>
        <v>561.29999999999995</v>
      </c>
      <c r="V35" s="138">
        <f t="shared" si="12"/>
        <v>561.29999999999995</v>
      </c>
      <c r="W35" s="138">
        <f t="shared" si="13"/>
        <v>374.2</v>
      </c>
      <c r="X35" s="138">
        <f t="shared" si="14"/>
        <v>841.94999999999993</v>
      </c>
      <c r="Y35" s="95">
        <f t="shared" si="15"/>
        <v>4396.8499999999995</v>
      </c>
      <c r="Z35" s="138">
        <f t="shared" si="16"/>
        <v>14313.150000000001</v>
      </c>
      <c r="AA35" s="95">
        <f>'DATOS REFERENCIALES'!$C$10</f>
        <v>1294</v>
      </c>
      <c r="AB35" s="95">
        <f>IF((IF(H35&gt;1119,('DATOS REFERENCIALES'!$C$9-(S35-T35-U35-V35-W35-X35+AA35)),(('DATOS REFERENCIALES'!$C$9/1120)*H35)-(K35+N35+O35+P35+Q35+R35-T35-U35-V35-W35-X35+AA35)))&lt;0,0,IF(H35&gt;1119,(('DATOS REFERENCIALES'!$C$9)-(S35-T35-U35-V35-W35-X35+AA35)),(('DATOS REFERENCIALES'!$C$9/1120)*H35)-(K35+N35+O35+P35+Q35+R35-T35-U35-V35-W35-X35+AA35)))</f>
        <v>0</v>
      </c>
      <c r="AC35" s="138">
        <f t="shared" si="17"/>
        <v>15607.150000000001</v>
      </c>
      <c r="AD35" s="107">
        <f>'DATOS REFERENCIALES'!$C$13</f>
        <v>1210</v>
      </c>
      <c r="AE35" s="306"/>
      <c r="AF35" s="151">
        <f>'DATOS REFERENCIALES'!$C$11</f>
        <v>320</v>
      </c>
      <c r="AG35" s="95">
        <f>'DATOS REFERENCIALES'!$C$12</f>
        <v>210</v>
      </c>
      <c r="AH35" s="95">
        <f>SUM(AC35:AG35)</f>
        <v>17347.150000000001</v>
      </c>
      <c r="AI35" s="13"/>
      <c r="AJ35" s="13"/>
      <c r="AK35" s="13"/>
      <c r="AL35" s="18"/>
      <c r="AM35" s="19"/>
      <c r="AN35" s="19"/>
      <c r="AR35" s="8"/>
    </row>
  </sheetData>
  <mergeCells count="67">
    <mergeCell ref="B27:B28"/>
    <mergeCell ref="K27:K28"/>
    <mergeCell ref="O9:O10"/>
    <mergeCell ref="AE9:AE10"/>
    <mergeCell ref="AE27:AE28"/>
    <mergeCell ref="E9:E10"/>
    <mergeCell ref="F9:F10"/>
    <mergeCell ref="D27:D28"/>
    <mergeCell ref="E27:E28"/>
    <mergeCell ref="D9:D10"/>
    <mergeCell ref="O27:O28"/>
    <mergeCell ref="H27:H28"/>
    <mergeCell ref="T9:X9"/>
    <mergeCell ref="Z27:Z28"/>
    <mergeCell ref="Y9:Y10"/>
    <mergeCell ref="Z9:Z10"/>
    <mergeCell ref="I27:I28"/>
    <mergeCell ref="H9:H10"/>
    <mergeCell ref="G27:G28"/>
    <mergeCell ref="AH9:AH10"/>
    <mergeCell ref="AF9:AF10"/>
    <mergeCell ref="AH27:AH28"/>
    <mergeCell ref="AH11:AH12"/>
    <mergeCell ref="AH13:AH14"/>
    <mergeCell ref="AG9:AG10"/>
    <mergeCell ref="AG27:AG28"/>
    <mergeCell ref="AF27:AF28"/>
    <mergeCell ref="AB27:AB28"/>
    <mergeCell ref="AC9:AC10"/>
    <mergeCell ref="K3:Z5"/>
    <mergeCell ref="R27:R28"/>
    <mergeCell ref="S27:S28"/>
    <mergeCell ref="T27:X27"/>
    <mergeCell ref="Y27:Y28"/>
    <mergeCell ref="A6:AH6"/>
    <mergeCell ref="A7:AH7"/>
    <mergeCell ref="AA9:AA10"/>
    <mergeCell ref="AD9:AD10"/>
    <mergeCell ref="AD27:AD28"/>
    <mergeCell ref="AC27:AC28"/>
    <mergeCell ref="S9:S10"/>
    <mergeCell ref="A9:A10"/>
    <mergeCell ref="B9:B10"/>
    <mergeCell ref="C27:C28"/>
    <mergeCell ref="A27:A28"/>
    <mergeCell ref="C9:C10"/>
    <mergeCell ref="Q9:Q10"/>
    <mergeCell ref="L27:L28"/>
    <mergeCell ref="M27:M28"/>
    <mergeCell ref="G9:G10"/>
    <mergeCell ref="P9:P10"/>
    <mergeCell ref="F27:F28"/>
    <mergeCell ref="P27:P28"/>
    <mergeCell ref="L9:L10"/>
    <mergeCell ref="M9:M10"/>
    <mergeCell ref="I9:I10"/>
    <mergeCell ref="J27:J28"/>
    <mergeCell ref="N9:N10"/>
    <mergeCell ref="J9:J10"/>
    <mergeCell ref="N27:N28"/>
    <mergeCell ref="Q27:Q28"/>
    <mergeCell ref="AH29:AH30"/>
    <mergeCell ref="AH31:AH32"/>
    <mergeCell ref="R9:R10"/>
    <mergeCell ref="AA27:AA28"/>
    <mergeCell ref="K9:K10"/>
    <mergeCell ref="AB9:AB1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O172"/>
  <sheetViews>
    <sheetView zoomScale="65" zoomScaleNormal="65" workbookViewId="0">
      <selection activeCell="M10" sqref="M10"/>
    </sheetView>
  </sheetViews>
  <sheetFormatPr baseColWidth="10" defaultColWidth="11.42578125" defaultRowHeight="12.75" x14ac:dyDescent="0.2"/>
  <cols>
    <col min="1" max="1" width="11.85546875" style="10" customWidth="1"/>
    <col min="2" max="2" width="58" style="1" customWidth="1"/>
    <col min="3" max="3" width="32.42578125" style="13" bestFit="1" customWidth="1"/>
    <col min="4" max="4" width="19.5703125" style="13" customWidth="1"/>
    <col min="5" max="5" width="21.140625" style="13" customWidth="1"/>
    <col min="6" max="6" width="15.28515625" style="13" customWidth="1"/>
    <col min="7" max="7" width="18.28515625" style="13" customWidth="1"/>
    <col min="8" max="8" width="13.7109375" style="13" customWidth="1"/>
    <col min="9" max="9" width="15.140625" style="14" customWidth="1"/>
    <col min="10" max="10" width="16.42578125" style="13" customWidth="1"/>
    <col min="11" max="11" width="16.28515625" style="13" customWidth="1"/>
    <col min="12" max="13" width="17.85546875" style="14" customWidth="1"/>
    <col min="14" max="14" width="16.5703125" style="13" customWidth="1"/>
    <col min="15" max="15" width="19.85546875" style="13" customWidth="1"/>
    <col min="16" max="16" width="20.42578125" style="13" customWidth="1"/>
    <col min="17" max="17" width="18" style="13" customWidth="1"/>
    <col min="18" max="18" width="19.42578125" style="13" customWidth="1"/>
    <col min="19" max="19" width="16.85546875" style="13" customWidth="1"/>
    <col min="20" max="20" width="17" style="13" customWidth="1"/>
    <col min="21" max="21" width="15.7109375" style="13" customWidth="1"/>
    <col min="22" max="22" width="15.140625" style="13" customWidth="1"/>
    <col min="23" max="23" width="16.85546875" style="13" customWidth="1"/>
    <col min="24" max="25" width="16.85546875" style="13" hidden="1" customWidth="1"/>
    <col min="26" max="26" width="16.85546875" style="13" customWidth="1"/>
    <col min="27" max="27" width="15.5703125" style="13" customWidth="1"/>
    <col min="28" max="28" width="14.28515625" style="13" customWidth="1"/>
    <col min="29" max="29" width="18.7109375" style="13" hidden="1" customWidth="1"/>
    <col min="30" max="31" width="18.7109375" style="13" customWidth="1"/>
    <col min="32" max="35" width="11.42578125" style="13"/>
    <col min="36" max="36" width="12.7109375" style="13" customWidth="1"/>
    <col min="37" max="37" width="11.42578125" style="13"/>
    <col min="38" max="40" width="11.42578125" style="1"/>
    <col min="41" max="41" width="12.28515625" style="1" bestFit="1" customWidth="1"/>
    <col min="42" max="16384" width="11.42578125" style="1"/>
  </cols>
  <sheetData>
    <row r="2" spans="1:13" ht="59.25" x14ac:dyDescent="0.75">
      <c r="A2" s="663" t="s">
        <v>110</v>
      </c>
      <c r="B2" s="663"/>
    </row>
    <row r="3" spans="1:13" ht="59.25" x14ac:dyDescent="0.75">
      <c r="A3" s="83"/>
      <c r="B3" s="83"/>
    </row>
    <row r="4" spans="1:13" ht="30" x14ac:dyDescent="0.4">
      <c r="B4" s="159" t="s">
        <v>111</v>
      </c>
      <c r="C4" s="194">
        <v>5.48</v>
      </c>
      <c r="D4" s="97"/>
      <c r="E4" s="97"/>
      <c r="F4" s="97"/>
    </row>
    <row r="5" spans="1:13" ht="30" x14ac:dyDescent="0.4">
      <c r="B5" s="96"/>
      <c r="C5" s="97"/>
      <c r="D5" s="97"/>
      <c r="E5" s="97"/>
      <c r="F5" s="97"/>
    </row>
    <row r="6" spans="1:13" ht="30" customHeight="1" x14ac:dyDescent="0.4">
      <c r="B6" s="96"/>
      <c r="C6" s="157"/>
      <c r="D6" s="157"/>
      <c r="E6" s="157"/>
      <c r="F6" s="664" t="s">
        <v>117</v>
      </c>
      <c r="G6" s="665" t="s">
        <v>115</v>
      </c>
      <c r="H6" s="666" t="s">
        <v>124</v>
      </c>
      <c r="I6" s="666" t="s">
        <v>125</v>
      </c>
      <c r="J6" s="667" t="s">
        <v>122</v>
      </c>
      <c r="K6" s="661" t="s">
        <v>123</v>
      </c>
      <c r="L6" s="660" t="s">
        <v>149</v>
      </c>
      <c r="M6" s="660" t="s">
        <v>150</v>
      </c>
    </row>
    <row r="7" spans="1:13" ht="50.25" customHeight="1" x14ac:dyDescent="0.2">
      <c r="C7" s="158" t="s">
        <v>147</v>
      </c>
      <c r="D7" s="158" t="s">
        <v>112</v>
      </c>
      <c r="E7" s="158" t="s">
        <v>121</v>
      </c>
      <c r="F7" s="664"/>
      <c r="G7" s="665"/>
      <c r="H7" s="666"/>
      <c r="I7" s="666"/>
      <c r="J7" s="668"/>
      <c r="K7" s="662"/>
      <c r="L7" s="660"/>
      <c r="M7" s="660"/>
    </row>
    <row r="8" spans="1:13" ht="33.950000000000003" customHeight="1" x14ac:dyDescent="0.3">
      <c r="B8" s="160" t="s">
        <v>118</v>
      </c>
      <c r="C8" s="195">
        <v>3640</v>
      </c>
      <c r="D8" s="195">
        <v>7280</v>
      </c>
      <c r="E8" s="196">
        <v>191.57</v>
      </c>
      <c r="F8" s="196">
        <v>38</v>
      </c>
      <c r="G8" s="196"/>
      <c r="H8" s="303">
        <v>19</v>
      </c>
      <c r="I8" s="303">
        <v>38</v>
      </c>
      <c r="J8" s="303">
        <v>19</v>
      </c>
      <c r="K8" s="303">
        <v>38</v>
      </c>
      <c r="L8" s="304"/>
      <c r="M8" s="304"/>
    </row>
    <row r="9" spans="1:13" ht="33.950000000000003" customHeight="1" x14ac:dyDescent="0.3">
      <c r="B9" s="160" t="s">
        <v>113</v>
      </c>
      <c r="C9" s="195">
        <v>14611</v>
      </c>
      <c r="D9" s="195">
        <v>29222</v>
      </c>
      <c r="E9" s="197">
        <v>730.55</v>
      </c>
      <c r="F9" s="198"/>
      <c r="G9" s="196"/>
      <c r="H9" s="303">
        <v>20</v>
      </c>
      <c r="I9" s="303">
        <v>40</v>
      </c>
      <c r="J9" s="303">
        <v>20</v>
      </c>
      <c r="K9" s="303">
        <v>40</v>
      </c>
      <c r="L9" s="195">
        <v>9147</v>
      </c>
      <c r="M9" s="195">
        <v>24315</v>
      </c>
    </row>
    <row r="10" spans="1:13" ht="33.950000000000003" customHeight="1" x14ac:dyDescent="0.3">
      <c r="B10" s="160" t="s">
        <v>114</v>
      </c>
      <c r="C10" s="195">
        <v>1294</v>
      </c>
      <c r="D10" s="195">
        <v>2588</v>
      </c>
      <c r="E10" s="197">
        <v>68.105000000000004</v>
      </c>
      <c r="F10" s="198"/>
      <c r="G10" s="196"/>
      <c r="H10" s="303">
        <v>19</v>
      </c>
      <c r="I10" s="303">
        <v>38</v>
      </c>
      <c r="J10" s="303">
        <v>19</v>
      </c>
      <c r="K10" s="303">
        <v>38</v>
      </c>
      <c r="L10" s="302"/>
      <c r="M10" s="302"/>
    </row>
    <row r="11" spans="1:13" ht="33.950000000000003" customHeight="1" x14ac:dyDescent="0.3">
      <c r="B11" s="160" t="s">
        <v>151</v>
      </c>
      <c r="C11" s="195">
        <v>320</v>
      </c>
      <c r="D11" s="195">
        <v>640</v>
      </c>
      <c r="E11" s="197">
        <v>21.34</v>
      </c>
      <c r="F11" s="198"/>
      <c r="G11" s="197">
        <v>26.67</v>
      </c>
      <c r="H11" s="303">
        <v>15</v>
      </c>
      <c r="I11" s="303">
        <v>30</v>
      </c>
      <c r="J11" s="303">
        <v>12</v>
      </c>
      <c r="K11" s="303">
        <v>24</v>
      </c>
      <c r="L11" s="302"/>
      <c r="M11" s="302"/>
    </row>
    <row r="12" spans="1:13" ht="33.950000000000003" customHeight="1" x14ac:dyDescent="0.3">
      <c r="B12" s="160" t="s">
        <v>152</v>
      </c>
      <c r="C12" s="195">
        <v>210</v>
      </c>
      <c r="D12" s="195">
        <v>420</v>
      </c>
      <c r="E12" s="196">
        <v>14</v>
      </c>
      <c r="F12" s="198"/>
      <c r="G12" s="196">
        <v>17.5</v>
      </c>
      <c r="H12" s="303">
        <v>15</v>
      </c>
      <c r="I12" s="303">
        <v>30</v>
      </c>
      <c r="J12" s="303">
        <v>12</v>
      </c>
      <c r="K12" s="303">
        <v>24</v>
      </c>
      <c r="L12" s="302"/>
      <c r="M12" s="302"/>
    </row>
    <row r="13" spans="1:13" ht="33.950000000000003" customHeight="1" x14ac:dyDescent="0.3">
      <c r="B13" s="160" t="s">
        <v>116</v>
      </c>
      <c r="C13" s="195">
        <v>1210</v>
      </c>
      <c r="D13" s="195">
        <v>2420</v>
      </c>
      <c r="E13" s="197">
        <v>80.666659999999993</v>
      </c>
      <c r="F13" s="198"/>
      <c r="G13" s="196">
        <v>100.83329999999999</v>
      </c>
      <c r="H13" s="303">
        <v>15</v>
      </c>
      <c r="I13" s="303">
        <v>30</v>
      </c>
      <c r="J13" s="303">
        <v>12</v>
      </c>
      <c r="K13" s="303">
        <v>24</v>
      </c>
      <c r="L13" s="302"/>
      <c r="M13" s="302"/>
    </row>
    <row r="14" spans="1:13" ht="20.25" x14ac:dyDescent="0.2">
      <c r="B14" s="188"/>
      <c r="C14" s="673"/>
      <c r="D14" s="674"/>
      <c r="E14" s="674"/>
      <c r="F14" s="674"/>
      <c r="G14" s="674"/>
      <c r="H14" s="674"/>
      <c r="I14" s="674"/>
      <c r="J14" s="674"/>
      <c r="K14" s="675"/>
    </row>
    <row r="15" spans="1:13" ht="20.25" x14ac:dyDescent="0.2">
      <c r="B15" s="188"/>
      <c r="C15" s="195"/>
      <c r="D15" s="195"/>
      <c r="E15" s="195"/>
      <c r="F15" s="198"/>
      <c r="G15" s="196"/>
      <c r="H15" s="303"/>
      <c r="I15" s="303"/>
      <c r="J15" s="303"/>
      <c r="K15" s="303"/>
    </row>
    <row r="17" spans="2:5" ht="13.5" thickBot="1" x14ac:dyDescent="0.25">
      <c r="C17" s="218" t="s">
        <v>174</v>
      </c>
      <c r="D17" s="218" t="s">
        <v>175</v>
      </c>
      <c r="E17" s="218" t="s">
        <v>176</v>
      </c>
    </row>
    <row r="18" spans="2:5" ht="15" thickBot="1" x14ac:dyDescent="0.25">
      <c r="B18" s="214"/>
      <c r="C18" s="217">
        <v>0.06</v>
      </c>
      <c r="D18" s="217">
        <v>0.1</v>
      </c>
      <c r="E18" s="217">
        <v>0.15</v>
      </c>
    </row>
    <row r="19" spans="2:5" ht="29.25" thickBot="1" x14ac:dyDescent="0.25">
      <c r="B19" s="215" t="s">
        <v>157</v>
      </c>
      <c r="C19" s="216" t="s">
        <v>158</v>
      </c>
      <c r="D19" s="216" t="s">
        <v>159</v>
      </c>
      <c r="E19" s="216" t="s">
        <v>160</v>
      </c>
    </row>
    <row r="20" spans="2:5" ht="38.25" customHeight="1" thickBot="1" x14ac:dyDescent="0.25">
      <c r="B20" s="215" t="s">
        <v>157</v>
      </c>
      <c r="C20" s="216" t="s">
        <v>161</v>
      </c>
      <c r="D20" s="216" t="s">
        <v>162</v>
      </c>
      <c r="E20" s="216" t="s">
        <v>163</v>
      </c>
    </row>
    <row r="21" spans="2:5" ht="29.25" thickBot="1" x14ac:dyDescent="0.25">
      <c r="B21" s="215" t="s">
        <v>157</v>
      </c>
      <c r="C21" s="216" t="s">
        <v>164</v>
      </c>
      <c r="D21" s="216" t="s">
        <v>165</v>
      </c>
      <c r="E21" s="216"/>
    </row>
    <row r="22" spans="2:5" x14ac:dyDescent="0.2">
      <c r="B22" s="669" t="s">
        <v>166</v>
      </c>
      <c r="C22" s="671" t="s">
        <v>167</v>
      </c>
      <c r="D22" s="671" t="s">
        <v>168</v>
      </c>
      <c r="E22" s="671" t="s">
        <v>169</v>
      </c>
    </row>
    <row r="23" spans="2:5" ht="13.5" thickBot="1" x14ac:dyDescent="0.25">
      <c r="B23" s="670"/>
      <c r="C23" s="672"/>
      <c r="D23" s="672"/>
      <c r="E23" s="672"/>
    </row>
    <row r="24" spans="2:5" ht="28.5" customHeight="1" thickBot="1" x14ac:dyDescent="0.25">
      <c r="B24" s="215" t="s">
        <v>170</v>
      </c>
      <c r="C24" s="216"/>
      <c r="D24" s="216"/>
      <c r="E24" s="216" t="s">
        <v>171</v>
      </c>
    </row>
    <row r="25" spans="2:5" ht="15" thickBot="1" x14ac:dyDescent="0.25">
      <c r="B25" s="215" t="s">
        <v>172</v>
      </c>
      <c r="C25" s="216" t="s">
        <v>173</v>
      </c>
      <c r="D25" s="216"/>
      <c r="E25" s="216"/>
    </row>
    <row r="27" spans="2:5" ht="13.5" thickBot="1" x14ac:dyDescent="0.25"/>
    <row r="28" spans="2:5" ht="36.75" thickBot="1" x14ac:dyDescent="0.25">
      <c r="B28" s="295" t="s">
        <v>180</v>
      </c>
      <c r="C28" s="292" t="s">
        <v>158</v>
      </c>
      <c r="D28" s="217">
        <v>0.06</v>
      </c>
    </row>
    <row r="29" spans="2:5" ht="36.75" thickBot="1" x14ac:dyDescent="0.25">
      <c r="B29" s="296" t="s">
        <v>180</v>
      </c>
      <c r="C29" s="293" t="s">
        <v>161</v>
      </c>
      <c r="D29" s="217">
        <v>0.06</v>
      </c>
    </row>
    <row r="30" spans="2:5" ht="36.75" thickBot="1" x14ac:dyDescent="0.25">
      <c r="B30" s="296" t="s">
        <v>180</v>
      </c>
      <c r="C30" s="293" t="s">
        <v>164</v>
      </c>
      <c r="D30" s="217">
        <v>0.06</v>
      </c>
    </row>
    <row r="31" spans="2:5" ht="36.75" thickBot="1" x14ac:dyDescent="0.25">
      <c r="B31" s="296" t="s">
        <v>180</v>
      </c>
      <c r="C31" s="294" t="s">
        <v>159</v>
      </c>
      <c r="D31" s="217">
        <v>0.1</v>
      </c>
    </row>
    <row r="32" spans="2:5" ht="36.75" thickBot="1" x14ac:dyDescent="0.25">
      <c r="B32" s="296" t="s">
        <v>180</v>
      </c>
      <c r="C32" s="294" t="s">
        <v>162</v>
      </c>
      <c r="D32" s="217">
        <v>0.1</v>
      </c>
    </row>
    <row r="33" spans="1:41" ht="36.75" thickBot="1" x14ac:dyDescent="0.25">
      <c r="B33" s="297" t="s">
        <v>180</v>
      </c>
      <c r="C33" s="294" t="s">
        <v>165</v>
      </c>
      <c r="D33" s="217">
        <v>0.1</v>
      </c>
    </row>
    <row r="34" spans="1:41" ht="36.75" thickBot="1" x14ac:dyDescent="0.25">
      <c r="B34" s="297" t="s">
        <v>180</v>
      </c>
      <c r="C34" s="219" t="s">
        <v>160</v>
      </c>
      <c r="D34" s="217">
        <v>0.15</v>
      </c>
    </row>
    <row r="35" spans="1:41" ht="36.75" thickBot="1" x14ac:dyDescent="0.25">
      <c r="A35" s="55"/>
      <c r="B35" s="298" t="s">
        <v>180</v>
      </c>
      <c r="C35" s="219" t="s">
        <v>163</v>
      </c>
      <c r="D35" s="217">
        <v>0.15</v>
      </c>
      <c r="E35" s="56"/>
      <c r="F35" s="56"/>
      <c r="G35" s="80"/>
      <c r="H35" s="56"/>
      <c r="I35" s="81"/>
      <c r="J35" s="57"/>
      <c r="K35" s="57"/>
      <c r="L35" s="81"/>
      <c r="M35" s="81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9"/>
      <c r="AC35" s="59"/>
      <c r="AD35" s="82"/>
      <c r="AE35" s="57"/>
      <c r="AI35" s="18"/>
      <c r="AJ35" s="19"/>
      <c r="AK35" s="19"/>
      <c r="AO35" s="8"/>
    </row>
    <row r="36" spans="1:41" ht="18.75" thickBot="1" x14ac:dyDescent="0.25">
      <c r="B36" s="299" t="s">
        <v>181</v>
      </c>
      <c r="C36" s="293" t="s">
        <v>179</v>
      </c>
      <c r="D36" s="217">
        <v>0.06</v>
      </c>
    </row>
    <row r="37" spans="1:41" ht="18.75" thickBot="1" x14ac:dyDescent="0.25">
      <c r="B37" s="300" t="s">
        <v>181</v>
      </c>
      <c r="C37" s="293" t="s">
        <v>168</v>
      </c>
      <c r="D37" s="217">
        <v>0.1</v>
      </c>
    </row>
    <row r="38" spans="1:41" ht="18.75" thickBot="1" x14ac:dyDescent="0.25">
      <c r="B38" s="301" t="s">
        <v>181</v>
      </c>
      <c r="C38" s="293" t="s">
        <v>169</v>
      </c>
      <c r="D38" s="217">
        <v>0.15</v>
      </c>
    </row>
    <row r="64" spans="35:37" x14ac:dyDescent="0.2">
      <c r="AI64" s="18"/>
      <c r="AJ64" s="19"/>
      <c r="AK64" s="19"/>
    </row>
    <row r="94" spans="35:37" x14ac:dyDescent="0.2">
      <c r="AI94" s="18"/>
      <c r="AJ94" s="19"/>
      <c r="AK94" s="19"/>
    </row>
    <row r="172" spans="1:37" s="3" customFormat="1" x14ac:dyDescent="0.2">
      <c r="A172" s="12"/>
      <c r="C172" s="25"/>
      <c r="D172" s="25"/>
      <c r="E172" s="25"/>
      <c r="F172" s="25"/>
      <c r="G172" s="25"/>
      <c r="H172" s="25"/>
      <c r="I172" s="26"/>
      <c r="J172" s="25"/>
      <c r="K172" s="25"/>
      <c r="L172" s="26"/>
      <c r="M172" s="26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</row>
  </sheetData>
  <dataConsolidate/>
  <mergeCells count="14">
    <mergeCell ref="B22:B23"/>
    <mergeCell ref="C22:C23"/>
    <mergeCell ref="D22:D23"/>
    <mergeCell ref="E22:E23"/>
    <mergeCell ref="L6:L7"/>
    <mergeCell ref="C14:K14"/>
    <mergeCell ref="M6:M7"/>
    <mergeCell ref="K6:K7"/>
    <mergeCell ref="A2:B2"/>
    <mergeCell ref="F6:F7"/>
    <mergeCell ref="G6:G7"/>
    <mergeCell ref="H6:H7"/>
    <mergeCell ref="I6:I7"/>
    <mergeCell ref="J6:J7"/>
  </mergeCells>
  <phoneticPr fontId="5" type="noConversion"/>
  <pageMargins left="0.74803149606299213" right="0.74803149606299213" top="0.98425196850393704" bottom="0.98425196850393704" header="0" footer="0"/>
  <pageSetup paperSize="5" scale="6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workbookViewId="0">
      <selection activeCell="G22" sqref="G22"/>
    </sheetView>
  </sheetViews>
  <sheetFormatPr baseColWidth="10" defaultRowHeight="12.75" x14ac:dyDescent="0.2"/>
  <sheetData>
    <row r="2" spans="1:3" x14ac:dyDescent="0.2">
      <c r="A2" s="676" t="s">
        <v>133</v>
      </c>
      <c r="B2" s="677"/>
      <c r="C2" s="677"/>
    </row>
    <row r="4" spans="1:3" x14ac:dyDescent="0.2">
      <c r="A4">
        <v>0</v>
      </c>
      <c r="B4">
        <v>0</v>
      </c>
    </row>
    <row r="5" spans="1:3" x14ac:dyDescent="0.2">
      <c r="A5">
        <v>1</v>
      </c>
      <c r="B5" s="6">
        <v>0.3</v>
      </c>
    </row>
    <row r="6" spans="1:3" x14ac:dyDescent="0.2">
      <c r="A6">
        <v>2</v>
      </c>
      <c r="B6" s="6">
        <v>0.3</v>
      </c>
    </row>
    <row r="7" spans="1:3" x14ac:dyDescent="0.2">
      <c r="A7">
        <v>3</v>
      </c>
      <c r="B7" s="6">
        <v>0.3</v>
      </c>
    </row>
    <row r="8" spans="1:3" x14ac:dyDescent="0.2">
      <c r="A8">
        <v>4</v>
      </c>
      <c r="B8" s="6">
        <v>0.4</v>
      </c>
    </row>
    <row r="9" spans="1:3" x14ac:dyDescent="0.2">
      <c r="A9">
        <v>5</v>
      </c>
      <c r="B9" s="6">
        <v>0.4</v>
      </c>
    </row>
    <row r="10" spans="1:3" x14ac:dyDescent="0.2">
      <c r="A10">
        <v>6</v>
      </c>
      <c r="B10" s="6">
        <v>0.4</v>
      </c>
    </row>
    <row r="11" spans="1:3" x14ac:dyDescent="0.2">
      <c r="A11">
        <v>7</v>
      </c>
      <c r="B11" s="6">
        <v>0.5</v>
      </c>
    </row>
    <row r="12" spans="1:3" x14ac:dyDescent="0.2">
      <c r="A12">
        <v>8</v>
      </c>
      <c r="B12" s="6">
        <v>0.5</v>
      </c>
    </row>
    <row r="13" spans="1:3" x14ac:dyDescent="0.2">
      <c r="A13">
        <v>9</v>
      </c>
      <c r="B13" s="6">
        <v>0.5</v>
      </c>
    </row>
    <row r="14" spans="1:3" x14ac:dyDescent="0.2">
      <c r="A14">
        <v>10</v>
      </c>
      <c r="B14" s="6">
        <v>0.6</v>
      </c>
    </row>
    <row r="15" spans="1:3" x14ac:dyDescent="0.2">
      <c r="A15">
        <v>11</v>
      </c>
      <c r="B15" s="6">
        <v>0.6</v>
      </c>
    </row>
    <row r="16" spans="1:3" x14ac:dyDescent="0.2">
      <c r="A16">
        <v>12</v>
      </c>
      <c r="B16" s="6">
        <v>0.7</v>
      </c>
    </row>
    <row r="17" spans="1:2" x14ac:dyDescent="0.2">
      <c r="A17">
        <v>13</v>
      </c>
      <c r="B17" s="6">
        <v>0.7</v>
      </c>
    </row>
    <row r="18" spans="1:2" x14ac:dyDescent="0.2">
      <c r="A18">
        <v>14</v>
      </c>
      <c r="B18" s="6">
        <v>0.8</v>
      </c>
    </row>
    <row r="19" spans="1:2" x14ac:dyDescent="0.2">
      <c r="A19">
        <v>15</v>
      </c>
      <c r="B19" s="6">
        <v>0.8</v>
      </c>
    </row>
    <row r="20" spans="1:2" x14ac:dyDescent="0.2">
      <c r="A20">
        <v>16</v>
      </c>
      <c r="B20" s="6">
        <v>0.9</v>
      </c>
    </row>
    <row r="21" spans="1:2" x14ac:dyDescent="0.2">
      <c r="A21">
        <v>17</v>
      </c>
      <c r="B21" s="6">
        <v>0.9</v>
      </c>
    </row>
    <row r="22" spans="1:2" x14ac:dyDescent="0.2">
      <c r="A22">
        <v>18</v>
      </c>
      <c r="B22" s="6">
        <v>1</v>
      </c>
    </row>
    <row r="23" spans="1:2" x14ac:dyDescent="0.2">
      <c r="A23">
        <v>19</v>
      </c>
      <c r="B23" s="6">
        <v>1</v>
      </c>
    </row>
    <row r="24" spans="1:2" x14ac:dyDescent="0.2">
      <c r="A24">
        <v>20</v>
      </c>
      <c r="B24" s="6">
        <v>1.1000000000000001</v>
      </c>
    </row>
    <row r="25" spans="1:2" x14ac:dyDescent="0.2">
      <c r="A25">
        <v>21</v>
      </c>
      <c r="B25" s="6">
        <v>1.1000000000000001</v>
      </c>
    </row>
    <row r="26" spans="1:2" x14ac:dyDescent="0.2">
      <c r="A26">
        <v>22</v>
      </c>
      <c r="B26" s="6">
        <v>1.2</v>
      </c>
    </row>
    <row r="27" spans="1:2" x14ac:dyDescent="0.2">
      <c r="A27">
        <v>23</v>
      </c>
      <c r="B27" s="6">
        <v>1.2</v>
      </c>
    </row>
    <row r="28" spans="1:2" x14ac:dyDescent="0.2">
      <c r="A28">
        <v>24</v>
      </c>
      <c r="B28" s="6">
        <v>1.2</v>
      </c>
    </row>
    <row r="29" spans="1:2" x14ac:dyDescent="0.2">
      <c r="A29">
        <v>25</v>
      </c>
      <c r="B29" s="6">
        <v>1.2</v>
      </c>
    </row>
    <row r="30" spans="1:2" x14ac:dyDescent="0.2">
      <c r="A30">
        <v>26</v>
      </c>
      <c r="B30" s="6">
        <v>1.2</v>
      </c>
    </row>
    <row r="31" spans="1:2" x14ac:dyDescent="0.2">
      <c r="A31">
        <v>27</v>
      </c>
      <c r="B31" s="6">
        <v>1.2</v>
      </c>
    </row>
    <row r="32" spans="1:2" x14ac:dyDescent="0.2">
      <c r="A32">
        <v>28</v>
      </c>
      <c r="B32" s="6">
        <v>1.2</v>
      </c>
    </row>
    <row r="33" spans="1:2" x14ac:dyDescent="0.2">
      <c r="A33">
        <v>29</v>
      </c>
      <c r="B33" s="6">
        <v>1.2</v>
      </c>
    </row>
    <row r="34" spans="1:2" x14ac:dyDescent="0.2">
      <c r="A34">
        <v>30</v>
      </c>
      <c r="B34" s="6">
        <v>1.2</v>
      </c>
    </row>
    <row r="35" spans="1:2" x14ac:dyDescent="0.2">
      <c r="A35">
        <v>31</v>
      </c>
      <c r="B35" s="6">
        <v>1.2</v>
      </c>
    </row>
    <row r="36" spans="1:2" x14ac:dyDescent="0.2">
      <c r="A36">
        <v>32</v>
      </c>
      <c r="B36" s="6">
        <v>1.2</v>
      </c>
    </row>
    <row r="37" spans="1:2" x14ac:dyDescent="0.2">
      <c r="A37">
        <v>33</v>
      </c>
      <c r="B37" s="6">
        <v>1.2</v>
      </c>
    </row>
    <row r="38" spans="1:2" x14ac:dyDescent="0.2">
      <c r="A38">
        <v>34</v>
      </c>
      <c r="B38" s="6">
        <v>1.2</v>
      </c>
    </row>
    <row r="39" spans="1:2" x14ac:dyDescent="0.2">
      <c r="A39">
        <v>35</v>
      </c>
      <c r="B39" s="6">
        <v>1.2</v>
      </c>
    </row>
  </sheetData>
  <mergeCells count="1">
    <mergeCell ref="A2:C2"/>
  </mergeCells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INICIAL</vt:lpstr>
      <vt:lpstr>Hoja1</vt:lpstr>
      <vt:lpstr>PRIMARIA </vt:lpstr>
      <vt:lpstr>ESPECIAL</vt:lpstr>
      <vt:lpstr>SECUNDARIA</vt:lpstr>
      <vt:lpstr>SUPERIOR</vt:lpstr>
      <vt:lpstr>DATOS REFERENCIALES</vt:lpstr>
      <vt:lpstr>TABLA ANTIG.</vt:lpstr>
      <vt:lpstr>HORAS</vt:lpstr>
    </vt:vector>
  </TitlesOfParts>
  <Company>Redes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M. Sirotzky</dc:creator>
  <cp:lastModifiedBy>Jorge</cp:lastModifiedBy>
  <cp:lastPrinted>2015-03-18T12:21:18Z</cp:lastPrinted>
  <dcterms:created xsi:type="dcterms:W3CDTF">2004-08-24T12:38:23Z</dcterms:created>
  <dcterms:modified xsi:type="dcterms:W3CDTF">2018-08-02T20:16:38Z</dcterms:modified>
</cp:coreProperties>
</file>