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Google Drive\NORMATIVAS\2019\NORMATIVAS\CABA\"/>
    </mc:Choice>
  </mc:AlternateContent>
  <bookViews>
    <workbookView xWindow="0" yWindow="0" windowWidth="20400" windowHeight="7740" tabRatio="699"/>
  </bookViews>
  <sheets>
    <sheet name="INICIAL" sheetId="17" r:id="rId1"/>
    <sheet name="Hoja1" sheetId="20" state="hidden" r:id="rId2"/>
    <sheet name="PRIMARIA " sheetId="15" r:id="rId3"/>
    <sheet name="ESPECIAL" sheetId="16" r:id="rId4"/>
    <sheet name="SECUNDARIA" sheetId="18" r:id="rId5"/>
    <sheet name="SUPERIOR" sheetId="19" r:id="rId6"/>
    <sheet name="DATOS REFERENCIALES" sheetId="12" r:id="rId7"/>
    <sheet name="TABLA ANTIG." sheetId="13" r:id="rId8"/>
  </sheets>
  <definedNames>
    <definedName name="_xlnm._FilterDatabase" localSheetId="6" hidden="1">'DATOS REFERENCIALES'!$A$37:$AA$174</definedName>
    <definedName name="HORAS">Hoja1!$A$4:$A$43</definedName>
  </definedNames>
  <calcPr calcId="152511"/>
</workbook>
</file>

<file path=xl/calcChain.xml><?xml version="1.0" encoding="utf-8"?>
<calcChain xmlns="http://schemas.openxmlformats.org/spreadsheetml/2006/main">
  <c r="AF34" i="19" l="1"/>
  <c r="AF35" i="19"/>
  <c r="AF33" i="19"/>
  <c r="AF31" i="19"/>
  <c r="AF29" i="19"/>
  <c r="AF22" i="19"/>
  <c r="AF21" i="19"/>
  <c r="AF20" i="19"/>
  <c r="AF19" i="19"/>
  <c r="AF18" i="19"/>
  <c r="AF17" i="19"/>
  <c r="AF16" i="19"/>
  <c r="AF15" i="19"/>
  <c r="AF13" i="19"/>
  <c r="AF11" i="19"/>
  <c r="AG60" i="18"/>
  <c r="AG59" i="18"/>
  <c r="AG57" i="18"/>
  <c r="AG55" i="18"/>
  <c r="AG34" i="18"/>
  <c r="AG46" i="18"/>
  <c r="AG45" i="18"/>
  <c r="AG44" i="18"/>
  <c r="AG43" i="18"/>
  <c r="AG40" i="18"/>
  <c r="AG42" i="18"/>
  <c r="AG41" i="18"/>
  <c r="AG38" i="18"/>
  <c r="AG36" i="18"/>
  <c r="AG47" i="18"/>
  <c r="AG26" i="18"/>
  <c r="AG24" i="18"/>
  <c r="AG23" i="18"/>
  <c r="AG22" i="18"/>
  <c r="AG21" i="18"/>
  <c r="AG20" i="18"/>
  <c r="AG19" i="18"/>
  <c r="AG18" i="18"/>
  <c r="AG17" i="18"/>
  <c r="AG16" i="18"/>
  <c r="AG14" i="18"/>
  <c r="AG12" i="18"/>
  <c r="AG11" i="18"/>
  <c r="AG32" i="16"/>
  <c r="AG27" i="16"/>
  <c r="AG28" i="16"/>
  <c r="AG29" i="16"/>
  <c r="AG30" i="16"/>
  <c r="AG31" i="16"/>
  <c r="AG33" i="16"/>
  <c r="AG34" i="16"/>
  <c r="AG40" i="16"/>
  <c r="AG36" i="16"/>
  <c r="AG26" i="16"/>
  <c r="AG25" i="16"/>
  <c r="AG24" i="16"/>
  <c r="AG22" i="16"/>
  <c r="AG21" i="16"/>
  <c r="AG19" i="16"/>
  <c r="AG17" i="16"/>
  <c r="AG15" i="16"/>
  <c r="AG13" i="16"/>
  <c r="AG11" i="16"/>
  <c r="AG44" i="15"/>
  <c r="AG42" i="15"/>
  <c r="AG40" i="15"/>
  <c r="AG33" i="15"/>
  <c r="AG32" i="15"/>
  <c r="AG30" i="15"/>
  <c r="AG28" i="15"/>
  <c r="AG26" i="15"/>
  <c r="AG20" i="15"/>
  <c r="AG18" i="15"/>
  <c r="AG19" i="15"/>
  <c r="AG21" i="15"/>
  <c r="AG17" i="15"/>
  <c r="AG15" i="15"/>
  <c r="AG13" i="15"/>
  <c r="AG34" i="15"/>
  <c r="AG11" i="15"/>
  <c r="AF11" i="17"/>
  <c r="AF28" i="17"/>
  <c r="AF30" i="17"/>
  <c r="AF32" i="17"/>
  <c r="AF26" i="17"/>
  <c r="AF21" i="17"/>
  <c r="AF20" i="17"/>
  <c r="AF19" i="17"/>
  <c r="AF18" i="17"/>
  <c r="AF17" i="17"/>
  <c r="AF15" i="17"/>
  <c r="AF13" i="17"/>
  <c r="E17" i="12"/>
  <c r="AF23" i="19" s="1"/>
  <c r="AF33" i="17" l="1"/>
  <c r="AG37" i="16"/>
  <c r="AG48" i="18"/>
  <c r="AG38" i="16"/>
  <c r="AG42" i="16"/>
  <c r="AG28" i="18"/>
  <c r="AG49" i="18"/>
  <c r="AG62" i="18"/>
  <c r="AF24" i="19"/>
  <c r="AG41" i="16"/>
  <c r="AG27" i="18"/>
  <c r="AG61" i="18"/>
  <c r="AG45" i="15"/>
  <c r="AG35" i="16"/>
  <c r="AG39" i="16"/>
  <c r="AG25" i="18"/>
  <c r="AG29" i="18"/>
  <c r="AG50" i="18"/>
  <c r="AI35" i="19"/>
  <c r="AJ35" i="19" s="1"/>
  <c r="AI34" i="19"/>
  <c r="AJ34" i="19" s="1"/>
  <c r="AK34" i="19" s="1"/>
  <c r="AI33" i="19"/>
  <c r="AJ33" i="19" s="1"/>
  <c r="AK33" i="19" s="1"/>
  <c r="AI31" i="19"/>
  <c r="AI29" i="19"/>
  <c r="AJ29" i="19" s="1"/>
  <c r="AI15" i="19"/>
  <c r="AI13" i="19"/>
  <c r="AI11" i="19"/>
  <c r="AJ31" i="19"/>
  <c r="AK31" i="19" s="1"/>
  <c r="AI24" i="19"/>
  <c r="AJ24" i="19" s="1"/>
  <c r="AK24" i="19" s="1"/>
  <c r="AI23" i="19"/>
  <c r="AJ23" i="19" s="1"/>
  <c r="AK23" i="19" s="1"/>
  <c r="AI22" i="19"/>
  <c r="AJ22" i="19" s="1"/>
  <c r="AK22" i="19" s="1"/>
  <c r="AI21" i="19"/>
  <c r="AI20" i="19"/>
  <c r="AJ20" i="19" s="1"/>
  <c r="AK20" i="19" s="1"/>
  <c r="AI19" i="19"/>
  <c r="AJ19" i="19" s="1"/>
  <c r="AK19" i="19" s="1"/>
  <c r="AI18" i="19"/>
  <c r="AJ18" i="19" s="1"/>
  <c r="AK18" i="19" s="1"/>
  <c r="AI17" i="19"/>
  <c r="AJ17" i="19" s="1"/>
  <c r="AI16" i="19"/>
  <c r="AJ16" i="19" s="1"/>
  <c r="AK16" i="19" s="1"/>
  <c r="AJ62" i="18"/>
  <c r="AK62" i="18" s="1"/>
  <c r="AL62" i="18" s="1"/>
  <c r="AJ61" i="18"/>
  <c r="AK61" i="18" s="1"/>
  <c r="AL61" i="18" s="1"/>
  <c r="AJ60" i="18"/>
  <c r="AK60" i="18" s="1"/>
  <c r="AJ59" i="18"/>
  <c r="AK59" i="18" s="1"/>
  <c r="AL59" i="18" s="1"/>
  <c r="AJ57" i="18"/>
  <c r="AK57" i="18" s="1"/>
  <c r="AL57" i="18" s="1"/>
  <c r="AJ55" i="18"/>
  <c r="AJ50" i="18"/>
  <c r="AK50" i="18" s="1"/>
  <c r="AJ49" i="18"/>
  <c r="AJ48" i="18"/>
  <c r="AK48" i="18" s="1"/>
  <c r="AL48" i="18" s="1"/>
  <c r="AJ47" i="18"/>
  <c r="AK47" i="18" s="1"/>
  <c r="AJ46" i="18"/>
  <c r="AK46" i="18" s="1"/>
  <c r="AJ45" i="18"/>
  <c r="AK45" i="18" s="1"/>
  <c r="AL45" i="18" s="1"/>
  <c r="AJ44" i="18"/>
  <c r="AK44" i="18" s="1"/>
  <c r="AJ43" i="18"/>
  <c r="AJ42" i="18"/>
  <c r="AK42" i="18" s="1"/>
  <c r="AJ41" i="18"/>
  <c r="AJ40" i="18"/>
  <c r="AK40" i="18" s="1"/>
  <c r="AL40" i="18" s="1"/>
  <c r="AJ38" i="18"/>
  <c r="AJ36" i="18"/>
  <c r="AK36" i="18" s="1"/>
  <c r="AJ34" i="18"/>
  <c r="AJ29" i="18"/>
  <c r="AK29" i="18" s="1"/>
  <c r="AL29" i="18" s="1"/>
  <c r="AJ28" i="18"/>
  <c r="AK28" i="18" s="1"/>
  <c r="AL28" i="18" s="1"/>
  <c r="AJ27" i="18"/>
  <c r="AK27" i="18" s="1"/>
  <c r="AJ26" i="18"/>
  <c r="AK26" i="18" s="1"/>
  <c r="AL26" i="18" s="1"/>
  <c r="AJ25" i="18"/>
  <c r="AK25" i="18" s="1"/>
  <c r="AL25" i="18" s="1"/>
  <c r="AJ24" i="18"/>
  <c r="AK24" i="18" s="1"/>
  <c r="AL24" i="18" s="1"/>
  <c r="AJ23" i="18"/>
  <c r="AJ22" i="18"/>
  <c r="AK22" i="18" s="1"/>
  <c r="AL22" i="18" s="1"/>
  <c r="AJ21" i="18"/>
  <c r="AK21" i="18" s="1"/>
  <c r="AL21" i="18" s="1"/>
  <c r="AJ20" i="18"/>
  <c r="AK20" i="18" s="1"/>
  <c r="AL20" i="18" s="1"/>
  <c r="AJ19" i="18"/>
  <c r="AJ18" i="18"/>
  <c r="AJ17" i="18"/>
  <c r="AJ16" i="18"/>
  <c r="AK16" i="18" s="1"/>
  <c r="AL16" i="18" s="1"/>
  <c r="AJ14" i="18"/>
  <c r="AK14" i="18" s="1"/>
  <c r="AL14" i="18" s="1"/>
  <c r="AJ12" i="18"/>
  <c r="AK12" i="18" s="1"/>
  <c r="AL12" i="18" s="1"/>
  <c r="AJ11" i="18"/>
  <c r="AK11" i="18" s="1"/>
  <c r="AJ42" i="16"/>
  <c r="AK42" i="16" s="1"/>
  <c r="AL42" i="16" s="1"/>
  <c r="AJ41" i="16"/>
  <c r="AK41" i="16" s="1"/>
  <c r="AL41" i="16" s="1"/>
  <c r="AJ40" i="16"/>
  <c r="AK40" i="16" s="1"/>
  <c r="AJ39" i="16"/>
  <c r="AK39" i="16" s="1"/>
  <c r="AL39" i="16" s="1"/>
  <c r="AJ38" i="16"/>
  <c r="AK38" i="16" s="1"/>
  <c r="AL38" i="16" s="1"/>
  <c r="AJ37" i="16"/>
  <c r="AK37" i="16" s="1"/>
  <c r="AL37" i="16" s="1"/>
  <c r="AJ36" i="16"/>
  <c r="AL36" i="16" s="1"/>
  <c r="AJ35" i="16"/>
  <c r="AK35" i="16" s="1"/>
  <c r="AL35" i="16" s="1"/>
  <c r="AJ34" i="16"/>
  <c r="AJ33" i="16"/>
  <c r="AJ32" i="16"/>
  <c r="AK32" i="16" s="1"/>
  <c r="AL32" i="16" s="1"/>
  <c r="AJ31" i="16"/>
  <c r="AJ30" i="16"/>
  <c r="AJ29" i="16"/>
  <c r="AK29" i="16" s="1"/>
  <c r="AJ28" i="16"/>
  <c r="AK28" i="16" s="1"/>
  <c r="AL28" i="16" s="1"/>
  <c r="AJ27" i="16"/>
  <c r="AJ26" i="16"/>
  <c r="AJ25" i="16"/>
  <c r="AJ24" i="16"/>
  <c r="AK24" i="16" s="1"/>
  <c r="AL24" i="16" s="1"/>
  <c r="AJ22" i="16"/>
  <c r="AK22" i="16" s="1"/>
  <c r="AJ21" i="16"/>
  <c r="AJ19" i="16"/>
  <c r="AK19" i="16" s="1"/>
  <c r="AJ17" i="16"/>
  <c r="AK17" i="16" s="1"/>
  <c r="AL17" i="16" s="1"/>
  <c r="AJ15" i="16"/>
  <c r="AK15" i="16" s="1"/>
  <c r="AL15" i="16" s="1"/>
  <c r="AJ13" i="16"/>
  <c r="AJ11" i="16"/>
  <c r="AK11" i="16" s="1"/>
  <c r="AL11" i="16" s="1"/>
  <c r="AJ45" i="15"/>
  <c r="AK45" i="15" s="1"/>
  <c r="AL45" i="15" s="1"/>
  <c r="AJ44" i="15"/>
  <c r="AJ42" i="15"/>
  <c r="AJ40" i="15"/>
  <c r="AK40" i="15" s="1"/>
  <c r="AL40" i="15" s="1"/>
  <c r="AJ34" i="15"/>
  <c r="AL34" i="15" s="1"/>
  <c r="AJ33" i="15"/>
  <c r="AK33" i="15" s="1"/>
  <c r="AL33" i="15" s="1"/>
  <c r="AJ32" i="15"/>
  <c r="AK32" i="15" s="1"/>
  <c r="AL32" i="15" s="1"/>
  <c r="AJ30" i="15"/>
  <c r="AK30" i="15" s="1"/>
  <c r="AJ28" i="15"/>
  <c r="AJ26" i="15"/>
  <c r="AK26" i="15" s="1"/>
  <c r="AL26" i="15" s="1"/>
  <c r="AJ21" i="15"/>
  <c r="AK21" i="15" s="1"/>
  <c r="AL21" i="15" s="1"/>
  <c r="AJ20" i="15"/>
  <c r="AK20" i="15" s="1"/>
  <c r="AL20" i="15" s="1"/>
  <c r="AJ19" i="15"/>
  <c r="AK19" i="15" s="1"/>
  <c r="AJ18" i="15"/>
  <c r="AJ17" i="15"/>
  <c r="AK17" i="15"/>
  <c r="AJ15" i="15"/>
  <c r="AK15" i="15" s="1"/>
  <c r="AL15" i="15" s="1"/>
  <c r="AJ13" i="15"/>
  <c r="AK13" i="15" s="1"/>
  <c r="AL13" i="15" s="1"/>
  <c r="AJ11" i="15"/>
  <c r="AI32" i="17"/>
  <c r="AJ32" i="17" s="1"/>
  <c r="AK32" i="17" s="1"/>
  <c r="AI30" i="17"/>
  <c r="AJ30" i="17" s="1"/>
  <c r="AK30" i="17" s="1"/>
  <c r="AI28" i="17"/>
  <c r="AJ28" i="17" s="1"/>
  <c r="AK28" i="17" s="1"/>
  <c r="AI26" i="17"/>
  <c r="AI33" i="17"/>
  <c r="AI21" i="17"/>
  <c r="AJ21" i="17" s="1"/>
  <c r="AK21" i="17" s="1"/>
  <c r="AI20" i="17"/>
  <c r="AJ20" i="17" s="1"/>
  <c r="AK20" i="17" s="1"/>
  <c r="AG21" i="17"/>
  <c r="AI19" i="17"/>
  <c r="AJ19" i="17" s="1"/>
  <c r="AK19" i="17" s="1"/>
  <c r="AI18" i="17"/>
  <c r="AJ18" i="17" s="1"/>
  <c r="AK18" i="17" s="1"/>
  <c r="AI17" i="17"/>
  <c r="AJ17" i="17" s="1"/>
  <c r="AK17" i="17" s="1"/>
  <c r="AI15" i="17"/>
  <c r="AI13" i="17"/>
  <c r="AJ13" i="17" s="1"/>
  <c r="AK13" i="17" s="1"/>
  <c r="AI11" i="17"/>
  <c r="AJ11" i="17" s="1"/>
  <c r="AK11" i="17" s="1"/>
  <c r="AK23" i="18"/>
  <c r="AK19" i="18"/>
  <c r="AL19" i="18" s="1"/>
  <c r="AK17" i="18"/>
  <c r="AL17" i="18" s="1"/>
  <c r="S11" i="18"/>
  <c r="S12" i="18"/>
  <c r="S14" i="18"/>
  <c r="S16" i="18"/>
  <c r="S17" i="18"/>
  <c r="S18" i="18"/>
  <c r="S19" i="18"/>
  <c r="S20" i="18"/>
  <c r="S21" i="18"/>
  <c r="S22" i="18"/>
  <c r="S23" i="18"/>
  <c r="S24" i="18"/>
  <c r="S25" i="18"/>
  <c r="S26" i="18"/>
  <c r="S27" i="18"/>
  <c r="S28" i="18"/>
  <c r="S29" i="18"/>
  <c r="S34" i="18"/>
  <c r="S36" i="18"/>
  <c r="S38" i="18"/>
  <c r="S40" i="18"/>
  <c r="S41" i="18"/>
  <c r="S42" i="18"/>
  <c r="S43" i="18"/>
  <c r="S44" i="18"/>
  <c r="S45" i="18"/>
  <c r="S46" i="18"/>
  <c r="S47" i="18"/>
  <c r="S48" i="18"/>
  <c r="S49" i="18"/>
  <c r="S50" i="18"/>
  <c r="S59" i="18"/>
  <c r="S60" i="18"/>
  <c r="S61" i="18"/>
  <c r="S62" i="18"/>
  <c r="C12" i="17"/>
  <c r="AJ15" i="19"/>
  <c r="AK15" i="19" s="1"/>
  <c r="AJ13" i="19"/>
  <c r="AK13" i="19" s="1"/>
  <c r="AJ11" i="19"/>
  <c r="AK11" i="19"/>
  <c r="AK55" i="18"/>
  <c r="AL55" i="18" s="1"/>
  <c r="AK49" i="18"/>
  <c r="AL49" i="18" s="1"/>
  <c r="AK38" i="18"/>
  <c r="AK34" i="18"/>
  <c r="AL34" i="18" s="1"/>
  <c r="AK36" i="16"/>
  <c r="AK34" i="16"/>
  <c r="AL34" i="16" s="1"/>
  <c r="AK33" i="16"/>
  <c r="AK30" i="16"/>
  <c r="AL30" i="16" s="1"/>
  <c r="AK26" i="16"/>
  <c r="AL26" i="16" s="1"/>
  <c r="AK25" i="16"/>
  <c r="AL25" i="16"/>
  <c r="AK21" i="16"/>
  <c r="AL21" i="16"/>
  <c r="AK13" i="16"/>
  <c r="AJ26" i="17"/>
  <c r="AK26" i="17" s="1"/>
  <c r="AJ15" i="17"/>
  <c r="AK15" i="17" s="1"/>
  <c r="AK11" i="15"/>
  <c r="AL11" i="15" s="1"/>
  <c r="S11" i="19"/>
  <c r="S13" i="19"/>
  <c r="S15" i="19"/>
  <c r="S16" i="19"/>
  <c r="S17" i="19"/>
  <c r="S18" i="19"/>
  <c r="AK42" i="15"/>
  <c r="AL42" i="15" s="1"/>
  <c r="AK34" i="15"/>
  <c r="AK28" i="15"/>
  <c r="AL28" i="15" s="1"/>
  <c r="AK18" i="15"/>
  <c r="AL18" i="15" s="1"/>
  <c r="C13" i="18"/>
  <c r="S24" i="19"/>
  <c r="S23" i="19"/>
  <c r="S35" i="19"/>
  <c r="S34" i="19"/>
  <c r="S33" i="19"/>
  <c r="S31" i="19"/>
  <c r="S29" i="19"/>
  <c r="S42" i="16"/>
  <c r="S41" i="16"/>
  <c r="S40" i="16"/>
  <c r="S39" i="16"/>
  <c r="S38" i="16"/>
  <c r="S37" i="16"/>
  <c r="S36" i="16"/>
  <c r="S35" i="16"/>
  <c r="S45" i="15"/>
  <c r="S34" i="15"/>
  <c r="S21" i="15"/>
  <c r="S33" i="17"/>
  <c r="S21" i="17"/>
  <c r="S22" i="19"/>
  <c r="S21" i="19"/>
  <c r="S20" i="19"/>
  <c r="S19" i="19"/>
  <c r="C39" i="18"/>
  <c r="S34" i="16"/>
  <c r="S33" i="16"/>
  <c r="S32" i="16"/>
  <c r="S31" i="16"/>
  <c r="S30" i="16"/>
  <c r="S29" i="16"/>
  <c r="S28" i="16"/>
  <c r="S27" i="16"/>
  <c r="S26" i="16"/>
  <c r="S25" i="16"/>
  <c r="S24" i="16"/>
  <c r="S21" i="16"/>
  <c r="S22" i="16"/>
  <c r="S19" i="16"/>
  <c r="S17" i="16"/>
  <c r="S15" i="16"/>
  <c r="S13" i="16"/>
  <c r="S11" i="16"/>
  <c r="S44" i="15"/>
  <c r="S42" i="15"/>
  <c r="S40" i="15"/>
  <c r="S33" i="15"/>
  <c r="S32" i="15"/>
  <c r="S30" i="15"/>
  <c r="S28" i="15"/>
  <c r="S26" i="15"/>
  <c r="S17" i="15"/>
  <c r="S18" i="15"/>
  <c r="S19" i="15"/>
  <c r="S20" i="15"/>
  <c r="S15" i="15"/>
  <c r="S13" i="15"/>
  <c r="S11" i="15"/>
  <c r="S32" i="17"/>
  <c r="S30" i="17"/>
  <c r="S28" i="17"/>
  <c r="S26" i="17"/>
  <c r="S20" i="17"/>
  <c r="S19" i="17"/>
  <c r="S18" i="17"/>
  <c r="S17" i="17"/>
  <c r="S15" i="17"/>
  <c r="S13" i="17"/>
  <c r="S11" i="17"/>
  <c r="C12" i="19"/>
  <c r="C12" i="15"/>
  <c r="C29" i="17"/>
  <c r="C27" i="17"/>
  <c r="H11" i="17"/>
  <c r="K11" i="17" s="1"/>
  <c r="O11" i="17" s="1"/>
  <c r="C32" i="19"/>
  <c r="C30" i="19"/>
  <c r="C14" i="19"/>
  <c r="C58" i="18"/>
  <c r="C56" i="18"/>
  <c r="C37" i="18"/>
  <c r="C35" i="18"/>
  <c r="C15" i="18"/>
  <c r="H12" i="18"/>
  <c r="K12" i="18"/>
  <c r="H14" i="18"/>
  <c r="C23" i="16"/>
  <c r="C20" i="16"/>
  <c r="C18" i="16"/>
  <c r="C16" i="16"/>
  <c r="C14" i="16"/>
  <c r="C12" i="16"/>
  <c r="C43" i="15"/>
  <c r="C41" i="15"/>
  <c r="C31" i="15"/>
  <c r="C29" i="15"/>
  <c r="C27" i="15"/>
  <c r="C31" i="17"/>
  <c r="C16" i="15"/>
  <c r="C14" i="15"/>
  <c r="C16" i="17"/>
  <c r="N16" i="17" s="1"/>
  <c r="C14" i="17"/>
  <c r="L32" i="19"/>
  <c r="O32" i="19" s="1"/>
  <c r="L30" i="19"/>
  <c r="N30" i="19" s="1"/>
  <c r="M14" i="19"/>
  <c r="L14" i="19"/>
  <c r="L12" i="19"/>
  <c r="L35" i="18"/>
  <c r="M58" i="18"/>
  <c r="L58" i="18"/>
  <c r="N58" i="18" s="1"/>
  <c r="L56" i="18"/>
  <c r="M39" i="18"/>
  <c r="L39" i="18"/>
  <c r="N39" i="18" s="1"/>
  <c r="M37" i="18"/>
  <c r="L37" i="18"/>
  <c r="L15" i="18"/>
  <c r="O15" i="18" s="1"/>
  <c r="L13" i="18"/>
  <c r="L23" i="16"/>
  <c r="R23" i="16" s="1"/>
  <c r="L20" i="16"/>
  <c r="R20" i="16"/>
  <c r="L18" i="16"/>
  <c r="L16" i="16"/>
  <c r="L14" i="16"/>
  <c r="R14" i="16"/>
  <c r="L12" i="16"/>
  <c r="L43" i="15"/>
  <c r="L41" i="15"/>
  <c r="L31" i="15"/>
  <c r="O31" i="15"/>
  <c r="L29" i="15"/>
  <c r="L27" i="15"/>
  <c r="L16" i="15"/>
  <c r="O16" i="15" s="1"/>
  <c r="N16" i="15"/>
  <c r="L14" i="15"/>
  <c r="O14" i="15" s="1"/>
  <c r="L12" i="15"/>
  <c r="L29" i="17"/>
  <c r="O29" i="17" s="1"/>
  <c r="L27" i="17"/>
  <c r="L31" i="17"/>
  <c r="O31" i="17" s="1"/>
  <c r="L16" i="17"/>
  <c r="O16" i="17" s="1"/>
  <c r="L14" i="17"/>
  <c r="O14" i="17" s="1"/>
  <c r="L12" i="17"/>
  <c r="AE32" i="15"/>
  <c r="H11" i="19"/>
  <c r="K11" i="19"/>
  <c r="O11" i="19" s="1"/>
  <c r="P11" i="19"/>
  <c r="Q11" i="19"/>
  <c r="AB11" i="19"/>
  <c r="AE11" i="19"/>
  <c r="AG11" i="19"/>
  <c r="H13" i="19"/>
  <c r="K13" i="19"/>
  <c r="N13" i="19"/>
  <c r="P13" i="19"/>
  <c r="Q13" i="19"/>
  <c r="AB13" i="19"/>
  <c r="AE13" i="19"/>
  <c r="AG13" i="19"/>
  <c r="K15" i="19"/>
  <c r="P15" i="19"/>
  <c r="Q15" i="19" s="1"/>
  <c r="AB15" i="19"/>
  <c r="AE15" i="19"/>
  <c r="AG15" i="19"/>
  <c r="H16" i="19"/>
  <c r="P16" i="19"/>
  <c r="Q16" i="19"/>
  <c r="AB16" i="19"/>
  <c r="AE16" i="19"/>
  <c r="AG16" i="19"/>
  <c r="K17" i="19"/>
  <c r="P17" i="19"/>
  <c r="Q17" i="19" s="1"/>
  <c r="AB17" i="19"/>
  <c r="AE17" i="19"/>
  <c r="AG17" i="19"/>
  <c r="H18" i="19"/>
  <c r="P18" i="19"/>
  <c r="Q18" i="19"/>
  <c r="AB18" i="19"/>
  <c r="AE18" i="19"/>
  <c r="AG18" i="19"/>
  <c r="H19" i="19"/>
  <c r="P19" i="19"/>
  <c r="Q19" i="19" s="1"/>
  <c r="AB19" i="19"/>
  <c r="AE19" i="19"/>
  <c r="AG19" i="19"/>
  <c r="H20" i="19"/>
  <c r="K20" i="19"/>
  <c r="P20" i="19"/>
  <c r="Q20" i="19" s="1"/>
  <c r="AB20" i="19"/>
  <c r="AE20" i="19"/>
  <c r="AG20" i="19"/>
  <c r="K21" i="19"/>
  <c r="P21" i="19"/>
  <c r="Q21" i="19" s="1"/>
  <c r="AB21" i="19"/>
  <c r="AE21" i="19"/>
  <c r="AG21" i="19"/>
  <c r="K22" i="19"/>
  <c r="P22" i="19"/>
  <c r="Q22" i="19" s="1"/>
  <c r="AB22" i="19"/>
  <c r="AE22" i="19"/>
  <c r="AG22" i="19"/>
  <c r="H23" i="19"/>
  <c r="K23" i="19"/>
  <c r="P23" i="19"/>
  <c r="Q23" i="19" s="1"/>
  <c r="AB23" i="19"/>
  <c r="AE23" i="19"/>
  <c r="AG23" i="19"/>
  <c r="H24" i="19"/>
  <c r="K24" i="19"/>
  <c r="P24" i="19"/>
  <c r="Q24" i="19" s="1"/>
  <c r="AB24" i="19"/>
  <c r="AE24" i="19"/>
  <c r="AG24" i="19"/>
  <c r="H29" i="19"/>
  <c r="P29" i="19"/>
  <c r="Q29" i="19" s="1"/>
  <c r="AB29" i="19"/>
  <c r="AE29" i="19"/>
  <c r="AG29" i="19"/>
  <c r="H31" i="19"/>
  <c r="K31" i="19"/>
  <c r="P31" i="19"/>
  <c r="Q31" i="19" s="1"/>
  <c r="AB31" i="19"/>
  <c r="AE31" i="19"/>
  <c r="AG31" i="19"/>
  <c r="H33" i="19"/>
  <c r="P33" i="19"/>
  <c r="Q33" i="19"/>
  <c r="AB33" i="19"/>
  <c r="AE33" i="19"/>
  <c r="AG33" i="19"/>
  <c r="H34" i="19"/>
  <c r="K34" i="19"/>
  <c r="P34" i="19"/>
  <c r="Q34" i="19" s="1"/>
  <c r="AB34" i="19"/>
  <c r="AE34" i="19"/>
  <c r="AG34" i="19"/>
  <c r="K35" i="19"/>
  <c r="P35" i="19"/>
  <c r="Q35" i="19" s="1"/>
  <c r="AB35" i="19"/>
  <c r="AE35" i="19"/>
  <c r="AG35" i="19"/>
  <c r="H11" i="18"/>
  <c r="K11" i="18"/>
  <c r="P11" i="18"/>
  <c r="Q11" i="18" s="1"/>
  <c r="AB11" i="18"/>
  <c r="AE11" i="18"/>
  <c r="AH11" i="18"/>
  <c r="P12" i="18"/>
  <c r="Q12" i="18"/>
  <c r="AB12" i="18"/>
  <c r="AE12" i="18"/>
  <c r="AH12" i="18"/>
  <c r="K14" i="18"/>
  <c r="N14" i="18" s="1"/>
  <c r="P14" i="18"/>
  <c r="Q14" i="18"/>
  <c r="AB14" i="18"/>
  <c r="AE14" i="18"/>
  <c r="AH14" i="18"/>
  <c r="K16" i="18"/>
  <c r="O16" i="18" s="1"/>
  <c r="P16" i="18"/>
  <c r="Q16" i="18"/>
  <c r="AB16" i="18"/>
  <c r="AE16" i="18"/>
  <c r="AH16" i="18"/>
  <c r="H17" i="18"/>
  <c r="P17" i="18"/>
  <c r="Q17" i="18" s="1"/>
  <c r="AB17" i="18"/>
  <c r="AE17" i="18"/>
  <c r="AH17" i="18"/>
  <c r="H18" i="18"/>
  <c r="K18" i="18"/>
  <c r="P18" i="18"/>
  <c r="Q18" i="18" s="1"/>
  <c r="AB18" i="18"/>
  <c r="AE18" i="18"/>
  <c r="AH18" i="18"/>
  <c r="H19" i="18"/>
  <c r="K19" i="18"/>
  <c r="N19" i="18"/>
  <c r="P19" i="18"/>
  <c r="Q19" i="18" s="1"/>
  <c r="AB19" i="18"/>
  <c r="AE19" i="18"/>
  <c r="AH19" i="18"/>
  <c r="H20" i="18"/>
  <c r="K20" i="18"/>
  <c r="N20" i="18" s="1"/>
  <c r="P20" i="18"/>
  <c r="Q20" i="18" s="1"/>
  <c r="AB20" i="18"/>
  <c r="AE20" i="18"/>
  <c r="AH20" i="18"/>
  <c r="H21" i="18"/>
  <c r="P21" i="18"/>
  <c r="Q21" i="18"/>
  <c r="AB21" i="18"/>
  <c r="AE21" i="18"/>
  <c r="AH21" i="18"/>
  <c r="H22" i="18"/>
  <c r="K22" i="18"/>
  <c r="P22" i="18"/>
  <c r="Q22" i="18" s="1"/>
  <c r="AB22" i="18"/>
  <c r="AE22" i="18"/>
  <c r="AH22" i="18"/>
  <c r="H23" i="18"/>
  <c r="K23" i="18"/>
  <c r="O23" i="18" s="1"/>
  <c r="P23" i="18"/>
  <c r="Q23" i="18" s="1"/>
  <c r="AB23" i="18"/>
  <c r="AE23" i="18"/>
  <c r="AH23" i="18"/>
  <c r="H24" i="18"/>
  <c r="K24" i="18"/>
  <c r="P24" i="18"/>
  <c r="Q24" i="18" s="1"/>
  <c r="AB24" i="18"/>
  <c r="AE24" i="18"/>
  <c r="AH24" i="18"/>
  <c r="H25" i="18"/>
  <c r="P25" i="18"/>
  <c r="AB25" i="18"/>
  <c r="AE25" i="18"/>
  <c r="AH25" i="18"/>
  <c r="H26" i="18"/>
  <c r="K26" i="18"/>
  <c r="O26" i="18" s="1"/>
  <c r="P26" i="18"/>
  <c r="Q26" i="18" s="1"/>
  <c r="AB26" i="18"/>
  <c r="AE26" i="18"/>
  <c r="AH26" i="18"/>
  <c r="H27" i="18"/>
  <c r="P27" i="18"/>
  <c r="Q27" i="18"/>
  <c r="AB27" i="18"/>
  <c r="AE27" i="18"/>
  <c r="AH27" i="18"/>
  <c r="H28" i="18"/>
  <c r="P28" i="18"/>
  <c r="Q28" i="18" s="1"/>
  <c r="AB28" i="18"/>
  <c r="AE28" i="18"/>
  <c r="AH28" i="18"/>
  <c r="H29" i="18"/>
  <c r="K29" i="18"/>
  <c r="N29" i="18" s="1"/>
  <c r="P29" i="18"/>
  <c r="Q29" i="18" s="1"/>
  <c r="AB29" i="18"/>
  <c r="AE29" i="18"/>
  <c r="AH29" i="18"/>
  <c r="H34" i="18"/>
  <c r="K34" i="18"/>
  <c r="P34" i="18"/>
  <c r="Q34" i="18" s="1"/>
  <c r="AB34" i="18"/>
  <c r="AE34" i="18"/>
  <c r="AH34" i="18"/>
  <c r="H36" i="18"/>
  <c r="P36" i="18"/>
  <c r="Q36" i="18"/>
  <c r="AB36" i="18"/>
  <c r="AE36" i="18"/>
  <c r="AH36" i="18"/>
  <c r="H38" i="18"/>
  <c r="K38" i="18"/>
  <c r="O38" i="18" s="1"/>
  <c r="P38" i="18"/>
  <c r="Q38" i="18" s="1"/>
  <c r="AB38" i="18"/>
  <c r="AE38" i="18"/>
  <c r="AH38" i="18"/>
  <c r="H40" i="18"/>
  <c r="K40" i="18"/>
  <c r="O40" i="18" s="1"/>
  <c r="P40" i="18"/>
  <c r="Q40" i="18" s="1"/>
  <c r="AB40" i="18"/>
  <c r="AE40" i="18"/>
  <c r="AH40" i="18"/>
  <c r="H41" i="18"/>
  <c r="K41" i="18"/>
  <c r="O41" i="18"/>
  <c r="P41" i="18"/>
  <c r="Q41" i="18" s="1"/>
  <c r="T41" i="18" s="1"/>
  <c r="U41" i="18" s="1"/>
  <c r="AB41" i="18"/>
  <c r="AE41" i="18"/>
  <c r="AH41" i="18"/>
  <c r="H42" i="18"/>
  <c r="K42" i="18"/>
  <c r="O42" i="18" s="1"/>
  <c r="P42" i="18"/>
  <c r="Q42" i="18" s="1"/>
  <c r="AB42" i="18"/>
  <c r="AE42" i="18"/>
  <c r="AH42" i="18"/>
  <c r="H43" i="18"/>
  <c r="P43" i="18"/>
  <c r="AB43" i="18"/>
  <c r="AE43" i="18"/>
  <c r="AH43" i="18"/>
  <c r="H44" i="18"/>
  <c r="K44" i="18"/>
  <c r="P44" i="18"/>
  <c r="Q44" i="18" s="1"/>
  <c r="AB44" i="18"/>
  <c r="AE44" i="18"/>
  <c r="AH44" i="18"/>
  <c r="H45" i="18"/>
  <c r="P45" i="18"/>
  <c r="Q45" i="18" s="1"/>
  <c r="AB45" i="18"/>
  <c r="AE45" i="18"/>
  <c r="AH45" i="18"/>
  <c r="H46" i="18"/>
  <c r="K46" i="18"/>
  <c r="O46" i="18" s="1"/>
  <c r="P46" i="18"/>
  <c r="Q46" i="18" s="1"/>
  <c r="AB46" i="18"/>
  <c r="AE46" i="18"/>
  <c r="AH46" i="18"/>
  <c r="H47" i="18"/>
  <c r="K47" i="18"/>
  <c r="P47" i="18"/>
  <c r="Q47" i="18" s="1"/>
  <c r="AB47" i="18"/>
  <c r="AE47" i="18"/>
  <c r="AH47" i="18"/>
  <c r="H48" i="18"/>
  <c r="K48" i="18"/>
  <c r="P48" i="18"/>
  <c r="Q48" i="18" s="1"/>
  <c r="AB48" i="18"/>
  <c r="AE48" i="18"/>
  <c r="AH48" i="18"/>
  <c r="H49" i="18"/>
  <c r="P49" i="18"/>
  <c r="Q49" i="18" s="1"/>
  <c r="AB49" i="18"/>
  <c r="AE49" i="18"/>
  <c r="AH49" i="18"/>
  <c r="H50" i="18"/>
  <c r="K50" i="18"/>
  <c r="P50" i="18"/>
  <c r="Q50" i="18" s="1"/>
  <c r="AB50" i="18"/>
  <c r="AE50" i="18"/>
  <c r="AH50" i="18"/>
  <c r="H55" i="18"/>
  <c r="S55" i="18"/>
  <c r="P55" i="18"/>
  <c r="Q55" i="18" s="1"/>
  <c r="AB55" i="18"/>
  <c r="AE55" i="18"/>
  <c r="AH55" i="18"/>
  <c r="H57" i="18"/>
  <c r="S57" i="18"/>
  <c r="P57" i="18"/>
  <c r="Q57" i="18" s="1"/>
  <c r="AB57" i="18"/>
  <c r="AE57" i="18"/>
  <c r="AH57" i="18"/>
  <c r="H59" i="18"/>
  <c r="K59" i="18"/>
  <c r="N59" i="18" s="1"/>
  <c r="P59" i="18"/>
  <c r="AB59" i="18"/>
  <c r="AE59" i="18"/>
  <c r="AH59" i="18"/>
  <c r="H60" i="18"/>
  <c r="P60" i="18"/>
  <c r="Q60" i="18"/>
  <c r="AB60" i="18"/>
  <c r="AE60" i="18"/>
  <c r="AH60" i="18"/>
  <c r="H61" i="18"/>
  <c r="K61" i="18"/>
  <c r="P61" i="18"/>
  <c r="Q61" i="18"/>
  <c r="AB61" i="18"/>
  <c r="AE61" i="18"/>
  <c r="AH61" i="18"/>
  <c r="H62" i="18"/>
  <c r="K62" i="18"/>
  <c r="O62" i="18" s="1"/>
  <c r="P62" i="18"/>
  <c r="Q62" i="18"/>
  <c r="AB62" i="18"/>
  <c r="AE62" i="18"/>
  <c r="AH62" i="18"/>
  <c r="H11" i="16"/>
  <c r="P11" i="16"/>
  <c r="Q11" i="16" s="1"/>
  <c r="AB11" i="16"/>
  <c r="AE11" i="16"/>
  <c r="AH11" i="16"/>
  <c r="H13" i="16"/>
  <c r="K13" i="16"/>
  <c r="N13" i="16" s="1"/>
  <c r="P13" i="16"/>
  <c r="AB13" i="16"/>
  <c r="AE13" i="16"/>
  <c r="AH13" i="16"/>
  <c r="H15" i="16"/>
  <c r="K15" i="16"/>
  <c r="P15" i="16"/>
  <c r="Q15" i="16" s="1"/>
  <c r="AB15" i="16"/>
  <c r="AE15" i="16"/>
  <c r="AH15" i="16"/>
  <c r="H17" i="16"/>
  <c r="K17" i="16"/>
  <c r="N17" i="16"/>
  <c r="P17" i="16"/>
  <c r="R17" i="16" s="1"/>
  <c r="Q17" i="16"/>
  <c r="AB17" i="16"/>
  <c r="AE17" i="16"/>
  <c r="AH17" i="16"/>
  <c r="H19" i="16"/>
  <c r="P19" i="16"/>
  <c r="AB19" i="16"/>
  <c r="AE19" i="16"/>
  <c r="AH19" i="16"/>
  <c r="H21" i="16"/>
  <c r="P21" i="16"/>
  <c r="Q21" i="16" s="1"/>
  <c r="AB21" i="16"/>
  <c r="AE21" i="16"/>
  <c r="AH21" i="16"/>
  <c r="H22" i="16"/>
  <c r="K22" i="16"/>
  <c r="N22" i="16" s="1"/>
  <c r="P22" i="16"/>
  <c r="Q22" i="16" s="1"/>
  <c r="AB22" i="16"/>
  <c r="AE22" i="16"/>
  <c r="AH22" i="16"/>
  <c r="H24" i="16"/>
  <c r="K24" i="16"/>
  <c r="P24" i="16"/>
  <c r="Q24" i="16" s="1"/>
  <c r="AB24" i="16"/>
  <c r="AE24" i="16"/>
  <c r="AH24" i="16"/>
  <c r="H25" i="16"/>
  <c r="K25" i="16"/>
  <c r="P25" i="16"/>
  <c r="AB25" i="16"/>
  <c r="AE25" i="16"/>
  <c r="AH25" i="16"/>
  <c r="H26" i="16"/>
  <c r="P26" i="16"/>
  <c r="Q26" i="16" s="1"/>
  <c r="AB26" i="16"/>
  <c r="AE26" i="16"/>
  <c r="AH26" i="16"/>
  <c r="H27" i="16"/>
  <c r="K27" i="16"/>
  <c r="P27" i="16"/>
  <c r="Q27" i="16" s="1"/>
  <c r="AB27" i="16"/>
  <c r="AE27" i="16"/>
  <c r="AH27" i="16"/>
  <c r="H28" i="16"/>
  <c r="K28" i="16"/>
  <c r="P28" i="16"/>
  <c r="AB28" i="16"/>
  <c r="AE28" i="16"/>
  <c r="AH28" i="16"/>
  <c r="H29" i="16"/>
  <c r="K29" i="16"/>
  <c r="P29" i="16"/>
  <c r="AB29" i="16"/>
  <c r="AE29" i="16"/>
  <c r="AH29" i="16"/>
  <c r="H30" i="16"/>
  <c r="P30" i="16"/>
  <c r="AB30" i="16"/>
  <c r="AE30" i="16"/>
  <c r="AH30" i="16"/>
  <c r="H31" i="16"/>
  <c r="K31" i="16"/>
  <c r="P31" i="16"/>
  <c r="Q31" i="16"/>
  <c r="AB31" i="16"/>
  <c r="AE31" i="16"/>
  <c r="AH31" i="16"/>
  <c r="H32" i="16"/>
  <c r="K32" i="16"/>
  <c r="P32" i="16"/>
  <c r="Q32" i="16" s="1"/>
  <c r="AB32" i="16"/>
  <c r="AE32" i="16"/>
  <c r="AH32" i="16"/>
  <c r="H33" i="16"/>
  <c r="K33" i="16"/>
  <c r="P33" i="16"/>
  <c r="AB33" i="16"/>
  <c r="AE33" i="16"/>
  <c r="AH33" i="16"/>
  <c r="H34" i="16"/>
  <c r="P34" i="16"/>
  <c r="Q34" i="16" s="1"/>
  <c r="AB34" i="16"/>
  <c r="AE34" i="16"/>
  <c r="AH34" i="16"/>
  <c r="H35" i="16"/>
  <c r="K35" i="16"/>
  <c r="P35" i="16"/>
  <c r="Q35" i="16" s="1"/>
  <c r="AB35" i="16"/>
  <c r="AE35" i="16"/>
  <c r="AH35" i="16"/>
  <c r="H36" i="16"/>
  <c r="K36" i="16"/>
  <c r="P36" i="16"/>
  <c r="AB36" i="16"/>
  <c r="AE36" i="16"/>
  <c r="AH36" i="16"/>
  <c r="H37" i="16"/>
  <c r="K37" i="16"/>
  <c r="P37" i="16"/>
  <c r="Q37" i="16" s="1"/>
  <c r="AB37" i="16"/>
  <c r="AE37" i="16"/>
  <c r="AH37" i="16"/>
  <c r="H38" i="16"/>
  <c r="K38" i="16"/>
  <c r="P38" i="16"/>
  <c r="AB38" i="16"/>
  <c r="AE38" i="16"/>
  <c r="AH38" i="16"/>
  <c r="H39" i="16"/>
  <c r="P39" i="16"/>
  <c r="Q39" i="16" s="1"/>
  <c r="AB39" i="16"/>
  <c r="AE39" i="16"/>
  <c r="AH39" i="16"/>
  <c r="H40" i="16"/>
  <c r="K40" i="16"/>
  <c r="P40" i="16"/>
  <c r="AB40" i="16"/>
  <c r="AE40" i="16"/>
  <c r="AH40" i="16"/>
  <c r="H41" i="16"/>
  <c r="K41" i="16"/>
  <c r="O41" i="16" s="1"/>
  <c r="P41" i="16"/>
  <c r="AB41" i="16"/>
  <c r="AE41" i="16"/>
  <c r="AH41" i="16"/>
  <c r="H42" i="16"/>
  <c r="K42" i="16"/>
  <c r="P42" i="16"/>
  <c r="Q42" i="16" s="1"/>
  <c r="AB42" i="16"/>
  <c r="AE42" i="16"/>
  <c r="AH42" i="16"/>
  <c r="H11" i="15"/>
  <c r="P11" i="15"/>
  <c r="Q11" i="15" s="1"/>
  <c r="AB11" i="15"/>
  <c r="AE11" i="15"/>
  <c r="AH11" i="15"/>
  <c r="H13" i="15"/>
  <c r="P13" i="15"/>
  <c r="Q13" i="15" s="1"/>
  <c r="AB13" i="15"/>
  <c r="AE13" i="15"/>
  <c r="AH13" i="15"/>
  <c r="H15" i="15"/>
  <c r="K15" i="15"/>
  <c r="N15" i="15" s="1"/>
  <c r="P15" i="15"/>
  <c r="Q15" i="15" s="1"/>
  <c r="AB15" i="15"/>
  <c r="AE15" i="15"/>
  <c r="AH15" i="15"/>
  <c r="H17" i="15"/>
  <c r="K17" i="15"/>
  <c r="N17" i="15"/>
  <c r="P17" i="15"/>
  <c r="Q17" i="15" s="1"/>
  <c r="AB17" i="15"/>
  <c r="AE17" i="15"/>
  <c r="AH17" i="15"/>
  <c r="H18" i="15"/>
  <c r="P18" i="15"/>
  <c r="Q18" i="15" s="1"/>
  <c r="AB18" i="15"/>
  <c r="AE18" i="15"/>
  <c r="AH18" i="15"/>
  <c r="H19" i="15"/>
  <c r="P19" i="15"/>
  <c r="Q19" i="15"/>
  <c r="AB19" i="15"/>
  <c r="AE19" i="15"/>
  <c r="AH19" i="15"/>
  <c r="H20" i="15"/>
  <c r="P20" i="15"/>
  <c r="AB20" i="15"/>
  <c r="AE20" i="15"/>
  <c r="AH20" i="15"/>
  <c r="H21" i="15"/>
  <c r="K21" i="15"/>
  <c r="O21" i="15" s="1"/>
  <c r="P21" i="15"/>
  <c r="Q21" i="15" s="1"/>
  <c r="AB21" i="15"/>
  <c r="AE21" i="15"/>
  <c r="AH21" i="15"/>
  <c r="H26" i="15"/>
  <c r="P26" i="15"/>
  <c r="Q26" i="15" s="1"/>
  <c r="AB26" i="15"/>
  <c r="AE26" i="15"/>
  <c r="AH26" i="15"/>
  <c r="H28" i="15"/>
  <c r="K28" i="15"/>
  <c r="P28" i="15"/>
  <c r="Q28" i="15" s="1"/>
  <c r="AB28" i="15"/>
  <c r="AE28" i="15"/>
  <c r="AH28" i="15"/>
  <c r="H30" i="15"/>
  <c r="P30" i="15"/>
  <c r="Q30" i="15" s="1"/>
  <c r="AB30" i="15"/>
  <c r="AE30" i="15"/>
  <c r="AH30" i="15"/>
  <c r="H32" i="15"/>
  <c r="P32" i="15"/>
  <c r="AB32" i="15"/>
  <c r="AH32" i="15"/>
  <c r="H33" i="15"/>
  <c r="P33" i="15"/>
  <c r="Q33" i="15" s="1"/>
  <c r="AB33" i="15"/>
  <c r="AE33" i="15"/>
  <c r="AH33" i="15"/>
  <c r="H34" i="15"/>
  <c r="P34" i="15"/>
  <c r="Q34" i="15" s="1"/>
  <c r="AB34" i="15"/>
  <c r="AE34" i="15"/>
  <c r="AH34" i="15"/>
  <c r="H40" i="15"/>
  <c r="K40" i="15"/>
  <c r="P40" i="15"/>
  <c r="Q40" i="15" s="1"/>
  <c r="AB40" i="15"/>
  <c r="AE40" i="15"/>
  <c r="AH40" i="15"/>
  <c r="H42" i="15"/>
  <c r="P42" i="15"/>
  <c r="Q42" i="15" s="1"/>
  <c r="AB42" i="15"/>
  <c r="AE42" i="15"/>
  <c r="AH42" i="15"/>
  <c r="H44" i="15"/>
  <c r="K44" i="15"/>
  <c r="P44" i="15"/>
  <c r="Q44" i="15" s="1"/>
  <c r="AB44" i="15"/>
  <c r="AE44" i="15"/>
  <c r="AH44" i="15"/>
  <c r="H45" i="15"/>
  <c r="P45" i="15"/>
  <c r="Q45" i="15" s="1"/>
  <c r="AB45" i="15"/>
  <c r="AE45" i="15"/>
  <c r="AH45" i="15"/>
  <c r="P11" i="17"/>
  <c r="Q11" i="17" s="1"/>
  <c r="AB11" i="17"/>
  <c r="AE11" i="17"/>
  <c r="AG11" i="17"/>
  <c r="H13" i="17"/>
  <c r="P13" i="17"/>
  <c r="Q13" i="17" s="1"/>
  <c r="AB13" i="17"/>
  <c r="AE13" i="17"/>
  <c r="AG13" i="17"/>
  <c r="H15" i="17"/>
  <c r="K15" i="17" s="1"/>
  <c r="P15" i="17"/>
  <c r="Q15" i="17" s="1"/>
  <c r="AB15" i="17"/>
  <c r="AE15" i="17"/>
  <c r="AG15" i="17"/>
  <c r="H17" i="17"/>
  <c r="K17" i="17" s="1"/>
  <c r="P17" i="17"/>
  <c r="Q17" i="17" s="1"/>
  <c r="AB17" i="17"/>
  <c r="AE17" i="17"/>
  <c r="AG17" i="17"/>
  <c r="H18" i="17"/>
  <c r="K18" i="17" s="1"/>
  <c r="P18" i="17"/>
  <c r="AB18" i="17"/>
  <c r="AE18" i="17"/>
  <c r="AG18" i="17"/>
  <c r="H19" i="17"/>
  <c r="K19" i="17"/>
  <c r="O19" i="17" s="1"/>
  <c r="P19" i="17"/>
  <c r="Q19" i="17" s="1"/>
  <c r="AB19" i="17"/>
  <c r="AE19" i="17"/>
  <c r="AG19" i="17"/>
  <c r="H20" i="17"/>
  <c r="K20" i="17" s="1"/>
  <c r="P20" i="17"/>
  <c r="Q20" i="17"/>
  <c r="AB20" i="17"/>
  <c r="AE20" i="17"/>
  <c r="AG20" i="17"/>
  <c r="H21" i="17"/>
  <c r="K21" i="17"/>
  <c r="O21" i="17" s="1"/>
  <c r="P21" i="17"/>
  <c r="Q21" i="17" s="1"/>
  <c r="AB21" i="17"/>
  <c r="AE21" i="17"/>
  <c r="H26" i="17"/>
  <c r="K26" i="17" s="1"/>
  <c r="P26" i="17"/>
  <c r="Q26" i="17" s="1"/>
  <c r="AB26" i="17"/>
  <c r="AE26" i="17"/>
  <c r="AG26" i="17"/>
  <c r="H28" i="17"/>
  <c r="K28" i="17" s="1"/>
  <c r="P28" i="17"/>
  <c r="Q28" i="17" s="1"/>
  <c r="AB28" i="17"/>
  <c r="AE28" i="17"/>
  <c r="AG28" i="17"/>
  <c r="H30" i="17"/>
  <c r="P30" i="17"/>
  <c r="Q30" i="17" s="1"/>
  <c r="AB30" i="17"/>
  <c r="AE30" i="17"/>
  <c r="AG30" i="17"/>
  <c r="H32" i="17"/>
  <c r="K32" i="17"/>
  <c r="N32" i="17" s="1"/>
  <c r="P32" i="17"/>
  <c r="Q32" i="17" s="1"/>
  <c r="AB32" i="17"/>
  <c r="AE32" i="17"/>
  <c r="AG32" i="17"/>
  <c r="H33" i="17"/>
  <c r="K33" i="17"/>
  <c r="P33" i="17"/>
  <c r="Q33" i="17" s="1"/>
  <c r="AB33" i="17"/>
  <c r="AE33" i="17"/>
  <c r="AG33" i="17"/>
  <c r="N20" i="16"/>
  <c r="O20" i="16"/>
  <c r="K19" i="19"/>
  <c r="O19" i="19" s="1"/>
  <c r="K16" i="19"/>
  <c r="K33" i="19"/>
  <c r="O33" i="19" s="1"/>
  <c r="K29" i="19"/>
  <c r="O29" i="19" s="1"/>
  <c r="K18" i="19"/>
  <c r="O18" i="19" s="1"/>
  <c r="K13" i="17"/>
  <c r="N13" i="17" s="1"/>
  <c r="O34" i="19"/>
  <c r="O40" i="16"/>
  <c r="O28" i="16"/>
  <c r="O25" i="16"/>
  <c r="N15" i="16"/>
  <c r="N29" i="16"/>
  <c r="N35" i="19"/>
  <c r="O33" i="16"/>
  <c r="N22" i="19"/>
  <c r="K36" i="18"/>
  <c r="N36" i="18" s="1"/>
  <c r="K27" i="18"/>
  <c r="K45" i="18"/>
  <c r="O45" i="18"/>
  <c r="K43" i="18"/>
  <c r="K25" i="18"/>
  <c r="N25" i="18" s="1"/>
  <c r="O25" i="18"/>
  <c r="K17" i="18"/>
  <c r="O17" i="18" s="1"/>
  <c r="K60" i="18"/>
  <c r="O60" i="18" s="1"/>
  <c r="K55" i="18"/>
  <c r="K28" i="18"/>
  <c r="O28" i="18" s="1"/>
  <c r="K49" i="18"/>
  <c r="K21" i="18"/>
  <c r="O21" i="18" s="1"/>
  <c r="K45" i="15"/>
  <c r="N45" i="15" s="1"/>
  <c r="O45" i="15"/>
  <c r="K42" i="15"/>
  <c r="O42" i="15" s="1"/>
  <c r="K33" i="15"/>
  <c r="O33" i="15"/>
  <c r="K34" i="15"/>
  <c r="O34" i="15" s="1"/>
  <c r="K32" i="15"/>
  <c r="O32" i="15" s="1"/>
  <c r="K26" i="15"/>
  <c r="M27" i="15" s="1"/>
  <c r="O26" i="15"/>
  <c r="O37" i="16"/>
  <c r="N25" i="16"/>
  <c r="O15" i="16"/>
  <c r="K39" i="16"/>
  <c r="N39" i="16" s="1"/>
  <c r="K34" i="16"/>
  <c r="O34" i="16" s="1"/>
  <c r="K30" i="16"/>
  <c r="O30" i="16" s="1"/>
  <c r="K26" i="16"/>
  <c r="O26" i="16" s="1"/>
  <c r="K21" i="16"/>
  <c r="N21" i="16" s="1"/>
  <c r="K19" i="16"/>
  <c r="K11" i="16"/>
  <c r="K30" i="15"/>
  <c r="O30" i="15"/>
  <c r="K20" i="15"/>
  <c r="N20" i="15" s="1"/>
  <c r="K19" i="15"/>
  <c r="O19" i="15" s="1"/>
  <c r="K18" i="15"/>
  <c r="N18" i="15" s="1"/>
  <c r="O17" i="15"/>
  <c r="K13" i="15"/>
  <c r="N13" i="15" s="1"/>
  <c r="K11" i="15"/>
  <c r="N17" i="19"/>
  <c r="N34" i="19"/>
  <c r="N37" i="16"/>
  <c r="N28" i="16"/>
  <c r="N19" i="19"/>
  <c r="O13" i="19"/>
  <c r="T13" i="19" s="1"/>
  <c r="V13" i="19" s="1"/>
  <c r="N14" i="16"/>
  <c r="O22" i="19"/>
  <c r="O14" i="16"/>
  <c r="O35" i="19"/>
  <c r="N40" i="16"/>
  <c r="O29" i="16"/>
  <c r="R28" i="16"/>
  <c r="N31" i="15"/>
  <c r="Q41" i="16"/>
  <c r="Q36" i="16"/>
  <c r="N40" i="15"/>
  <c r="O40" i="15"/>
  <c r="M41" i="15"/>
  <c r="N41" i="15"/>
  <c r="O42" i="16"/>
  <c r="M18" i="16"/>
  <c r="R18" i="16" s="1"/>
  <c r="O17" i="16"/>
  <c r="N26" i="15"/>
  <c r="N11" i="19"/>
  <c r="N33" i="16"/>
  <c r="N45" i="18"/>
  <c r="N33" i="15"/>
  <c r="N33" i="19"/>
  <c r="O11" i="16"/>
  <c r="N34" i="16"/>
  <c r="N11" i="15"/>
  <c r="N34" i="18"/>
  <c r="N55" i="18"/>
  <c r="O11" i="15"/>
  <c r="N32" i="15"/>
  <c r="O18" i="15"/>
  <c r="O20" i="15"/>
  <c r="N30" i="15"/>
  <c r="N11" i="16"/>
  <c r="N19" i="15"/>
  <c r="O41" i="15"/>
  <c r="T41" i="15"/>
  <c r="U41" i="15"/>
  <c r="M13" i="18"/>
  <c r="O13" i="18" s="1"/>
  <c r="N16" i="18"/>
  <c r="K57" i="18"/>
  <c r="O57" i="18"/>
  <c r="N41" i="18"/>
  <c r="N40" i="18"/>
  <c r="N21" i="18"/>
  <c r="O29" i="18"/>
  <c r="N26" i="18"/>
  <c r="O34" i="18"/>
  <c r="M35" i="18"/>
  <c r="N35" i="18" s="1"/>
  <c r="N61" i="18"/>
  <c r="O61" i="18"/>
  <c r="O47" i="18"/>
  <c r="N47" i="18"/>
  <c r="N28" i="18"/>
  <c r="N57" i="18"/>
  <c r="O19" i="18"/>
  <c r="N62" i="18"/>
  <c r="N15" i="18"/>
  <c r="K30" i="17"/>
  <c r="N30" i="17" s="1"/>
  <c r="R15" i="16" l="1"/>
  <c r="R11" i="16"/>
  <c r="T34" i="18"/>
  <c r="V34" i="18" s="1"/>
  <c r="O36" i="18"/>
  <c r="O14" i="18"/>
  <c r="N23" i="18"/>
  <c r="T23" i="18" s="1"/>
  <c r="R26" i="16"/>
  <c r="T26" i="16" s="1"/>
  <c r="N26" i="16"/>
  <c r="N18" i="19"/>
  <c r="N29" i="17"/>
  <c r="T15" i="18"/>
  <c r="V15" i="18" s="1"/>
  <c r="N17" i="18"/>
  <c r="R21" i="16"/>
  <c r="N29" i="19"/>
  <c r="T29" i="19" s="1"/>
  <c r="Y29" i="19" s="1"/>
  <c r="O30" i="19"/>
  <c r="T30" i="19" s="1"/>
  <c r="N42" i="15"/>
  <c r="N60" i="18"/>
  <c r="N32" i="19"/>
  <c r="T32" i="19" s="1"/>
  <c r="T20" i="16"/>
  <c r="U20" i="16" s="1"/>
  <c r="AL13" i="16"/>
  <c r="AL38" i="18"/>
  <c r="AL30" i="15"/>
  <c r="AL27" i="18"/>
  <c r="AK35" i="19"/>
  <c r="AK44" i="15"/>
  <c r="AL44" i="15" s="1"/>
  <c r="AK27" i="16"/>
  <c r="AL27" i="16" s="1"/>
  <c r="AK31" i="16"/>
  <c r="AL31" i="16" s="1"/>
  <c r="AL11" i="18"/>
  <c r="AK43" i="18"/>
  <c r="AL43" i="18" s="1"/>
  <c r="AL19" i="15"/>
  <c r="AL22" i="16"/>
  <c r="AL44" i="18"/>
  <c r="AL29" i="16"/>
  <c r="AL33" i="16"/>
  <c r="AL23" i="18"/>
  <c r="T61" i="18"/>
  <c r="X61" i="18" s="1"/>
  <c r="T15" i="16"/>
  <c r="Y15" i="16" s="1"/>
  <c r="T26" i="18"/>
  <c r="U26" i="18" s="1"/>
  <c r="R37" i="16"/>
  <c r="T37" i="16" s="1"/>
  <c r="R24" i="16"/>
  <c r="O18" i="16"/>
  <c r="W41" i="15"/>
  <c r="X41" i="15"/>
  <c r="V41" i="15"/>
  <c r="Y41" i="15"/>
  <c r="Z41" i="15" s="1"/>
  <c r="AA41" i="15" s="1"/>
  <c r="AD41" i="15" s="1"/>
  <c r="O55" i="18"/>
  <c r="M56" i="18"/>
  <c r="O16" i="19"/>
  <c r="N16" i="19"/>
  <c r="O38" i="16"/>
  <c r="N38" i="16"/>
  <c r="N48" i="18"/>
  <c r="O48" i="18"/>
  <c r="T48" i="18" s="1"/>
  <c r="Y48" i="18" s="1"/>
  <c r="N44" i="18"/>
  <c r="O44" i="18"/>
  <c r="O18" i="18"/>
  <c r="N18" i="18"/>
  <c r="O21" i="19"/>
  <c r="T21" i="19"/>
  <c r="Y21" i="19" s="1"/>
  <c r="N21" i="19"/>
  <c r="O15" i="19"/>
  <c r="N15" i="19"/>
  <c r="T15" i="19"/>
  <c r="Y15" i="19" s="1"/>
  <c r="O29" i="15"/>
  <c r="N29" i="15"/>
  <c r="V26" i="18"/>
  <c r="X29" i="19"/>
  <c r="N14" i="15"/>
  <c r="T14" i="15" s="1"/>
  <c r="N27" i="18"/>
  <c r="O27" i="18"/>
  <c r="T19" i="15"/>
  <c r="V19" i="15" s="1"/>
  <c r="R35" i="16"/>
  <c r="N35" i="16"/>
  <c r="O20" i="19"/>
  <c r="N20" i="19"/>
  <c r="T20" i="19" s="1"/>
  <c r="N18" i="16"/>
  <c r="Y26" i="18"/>
  <c r="N37" i="18"/>
  <c r="N38" i="18"/>
  <c r="T38" i="18" s="1"/>
  <c r="O59" i="18"/>
  <c r="U29" i="19"/>
  <c r="N41" i="16"/>
  <c r="T41" i="16" s="1"/>
  <c r="R41" i="16"/>
  <c r="O13" i="16"/>
  <c r="T11" i="16"/>
  <c r="Y11" i="16" s="1"/>
  <c r="M12" i="16"/>
  <c r="R12" i="16" s="1"/>
  <c r="N30" i="16"/>
  <c r="N21" i="15"/>
  <c r="T21" i="15" s="1"/>
  <c r="O43" i="18"/>
  <c r="N43" i="18"/>
  <c r="O13" i="17"/>
  <c r="T14" i="18"/>
  <c r="W14" i="18" s="1"/>
  <c r="T35" i="19"/>
  <c r="X35" i="19" s="1"/>
  <c r="T31" i="15"/>
  <c r="X31" i="15" s="1"/>
  <c r="T18" i="19"/>
  <c r="X18" i="19" s="1"/>
  <c r="V61" i="18"/>
  <c r="T60" i="18"/>
  <c r="Y60" i="18" s="1"/>
  <c r="O39" i="18"/>
  <c r="T39" i="18" s="1"/>
  <c r="T16" i="19"/>
  <c r="V16" i="19" s="1"/>
  <c r="R34" i="16"/>
  <c r="T14" i="16"/>
  <c r="T55" i="18"/>
  <c r="Y55" i="18" s="1"/>
  <c r="O37" i="18"/>
  <c r="N31" i="17"/>
  <c r="T31" i="17" s="1"/>
  <c r="T22" i="19"/>
  <c r="U22" i="19" s="1"/>
  <c r="O35" i="18"/>
  <c r="T35" i="18" s="1"/>
  <c r="N27" i="15"/>
  <c r="O27" i="15"/>
  <c r="N20" i="17"/>
  <c r="O20" i="17"/>
  <c r="O17" i="17"/>
  <c r="N17" i="17"/>
  <c r="O26" i="17"/>
  <c r="N26" i="17"/>
  <c r="M27" i="17"/>
  <c r="N27" i="17" s="1"/>
  <c r="N15" i="17"/>
  <c r="O15" i="17"/>
  <c r="O28" i="17"/>
  <c r="N28" i="17"/>
  <c r="T28" i="17" s="1"/>
  <c r="N14" i="17"/>
  <c r="T14" i="17" s="1"/>
  <c r="W31" i="17"/>
  <c r="U31" i="17"/>
  <c r="X31" i="17"/>
  <c r="Y31" i="17"/>
  <c r="V31" i="17"/>
  <c r="N18" i="17"/>
  <c r="O18" i="17"/>
  <c r="T16" i="17"/>
  <c r="O30" i="17"/>
  <c r="T30" i="17" s="1"/>
  <c r="O32" i="17"/>
  <c r="T32" i="17" s="1"/>
  <c r="N19" i="17"/>
  <c r="T19" i="17" s="1"/>
  <c r="W19" i="17" s="1"/>
  <c r="AK29" i="19"/>
  <c r="AK17" i="19"/>
  <c r="AJ21" i="19"/>
  <c r="AK21" i="19" s="1"/>
  <c r="AL60" i="18"/>
  <c r="AL50" i="18"/>
  <c r="AL47" i="18"/>
  <c r="AL42" i="18"/>
  <c r="AL46" i="18"/>
  <c r="AK41" i="18"/>
  <c r="AL41" i="18" s="1"/>
  <c r="AL36" i="18"/>
  <c r="AK18" i="18"/>
  <c r="AL18" i="18" s="1"/>
  <c r="AL40" i="16"/>
  <c r="AL19" i="16"/>
  <c r="T45" i="15"/>
  <c r="Y45" i="15" s="1"/>
  <c r="AL17" i="15"/>
  <c r="AJ33" i="17"/>
  <c r="AK33" i="17" s="1"/>
  <c r="N21" i="17"/>
  <c r="T21" i="17" s="1"/>
  <c r="W21" i="17" s="1"/>
  <c r="Y22" i="19"/>
  <c r="V22" i="19"/>
  <c r="T33" i="19"/>
  <c r="W29" i="19"/>
  <c r="T57" i="18"/>
  <c r="X57" i="18" s="1"/>
  <c r="X13" i="19"/>
  <c r="T47" i="18"/>
  <c r="V47" i="18" s="1"/>
  <c r="T34" i="16"/>
  <c r="W34" i="16" s="1"/>
  <c r="T40" i="15"/>
  <c r="V40" i="15" s="1"/>
  <c r="T17" i="16"/>
  <c r="U17" i="16" s="1"/>
  <c r="T27" i="18"/>
  <c r="W27" i="18" s="1"/>
  <c r="T29" i="17"/>
  <c r="Y57" i="18"/>
  <c r="X45" i="15"/>
  <c r="U31" i="15"/>
  <c r="Q18" i="17"/>
  <c r="X40" i="15"/>
  <c r="N28" i="15"/>
  <c r="O28" i="15"/>
  <c r="Q20" i="15"/>
  <c r="T20" i="15" s="1"/>
  <c r="Q38" i="16"/>
  <c r="R38" i="16"/>
  <c r="Q33" i="16"/>
  <c r="R33" i="16"/>
  <c r="O32" i="16"/>
  <c r="R32" i="16"/>
  <c r="N32" i="16"/>
  <c r="R31" i="16"/>
  <c r="N31" i="16"/>
  <c r="O31" i="16"/>
  <c r="R29" i="16"/>
  <c r="Q29" i="16"/>
  <c r="R25" i="16"/>
  <c r="T25" i="16" s="1"/>
  <c r="Q25" i="16"/>
  <c r="O24" i="16"/>
  <c r="N24" i="16"/>
  <c r="T24" i="16" s="1"/>
  <c r="Q19" i="16"/>
  <c r="R19" i="16"/>
  <c r="O50" i="18"/>
  <c r="N46" i="18"/>
  <c r="T46" i="18" s="1"/>
  <c r="Q43" i="18"/>
  <c r="N42" i="18"/>
  <c r="T42" i="18" s="1"/>
  <c r="N22" i="18"/>
  <c r="O22" i="18"/>
  <c r="N14" i="19"/>
  <c r="O14" i="19"/>
  <c r="O12" i="18"/>
  <c r="V57" i="18"/>
  <c r="T62" i="18"/>
  <c r="N12" i="18"/>
  <c r="W38" i="18"/>
  <c r="Y38" i="18"/>
  <c r="V38" i="18"/>
  <c r="X38" i="18"/>
  <c r="U47" i="18"/>
  <c r="Y41" i="18"/>
  <c r="X41" i="18"/>
  <c r="W41" i="18"/>
  <c r="V41" i="18"/>
  <c r="N13" i="18"/>
  <c r="T13" i="18" s="1"/>
  <c r="W13" i="19"/>
  <c r="Y13" i="19"/>
  <c r="U13" i="19"/>
  <c r="T13" i="17"/>
  <c r="V20" i="16"/>
  <c r="N33" i="17"/>
  <c r="O33" i="17"/>
  <c r="N44" i="15"/>
  <c r="O44" i="15"/>
  <c r="Q32" i="15"/>
  <c r="T32" i="15" s="1"/>
  <c r="X19" i="15"/>
  <c r="N42" i="16"/>
  <c r="R42" i="16"/>
  <c r="Q30" i="16"/>
  <c r="R30" i="16"/>
  <c r="Q13" i="16"/>
  <c r="R13" i="16"/>
  <c r="Q59" i="18"/>
  <c r="T59" i="18" s="1"/>
  <c r="T45" i="18"/>
  <c r="Q25" i="18"/>
  <c r="T25" i="18" s="1"/>
  <c r="O24" i="18"/>
  <c r="N24" i="18"/>
  <c r="T24" i="18" s="1"/>
  <c r="O20" i="18"/>
  <c r="T20" i="18"/>
  <c r="T19" i="18"/>
  <c r="N11" i="18"/>
  <c r="O11" i="18"/>
  <c r="T11" i="18" s="1"/>
  <c r="W33" i="19"/>
  <c r="N31" i="19"/>
  <c r="O31" i="19"/>
  <c r="M12" i="17"/>
  <c r="N11" i="17"/>
  <c r="T11" i="17" s="1"/>
  <c r="U38" i="18"/>
  <c r="W15" i="18"/>
  <c r="T36" i="18"/>
  <c r="N50" i="18"/>
  <c r="T50" i="18" s="1"/>
  <c r="T29" i="18"/>
  <c r="T40" i="18"/>
  <c r="T16" i="18"/>
  <c r="T30" i="15"/>
  <c r="T17" i="18"/>
  <c r="T28" i="18"/>
  <c r="T21" i="18"/>
  <c r="T11" i="15"/>
  <c r="M12" i="15"/>
  <c r="N12" i="15" s="1"/>
  <c r="R39" i="16"/>
  <c r="O39" i="16"/>
  <c r="T39" i="16" s="1"/>
  <c r="T42" i="15"/>
  <c r="O49" i="18"/>
  <c r="N49" i="18"/>
  <c r="N24" i="19"/>
  <c r="O24" i="19"/>
  <c r="N19" i="16"/>
  <c r="O19" i="16"/>
  <c r="T33" i="15"/>
  <c r="O23" i="19"/>
  <c r="N23" i="19"/>
  <c r="O43" i="15"/>
  <c r="N43" i="15"/>
  <c r="T43" i="15" s="1"/>
  <c r="R16" i="16"/>
  <c r="N16" i="16"/>
  <c r="O16" i="16"/>
  <c r="N23" i="16"/>
  <c r="O23" i="16"/>
  <c r="O21" i="16"/>
  <c r="T21" i="16" s="1"/>
  <c r="O13" i="15"/>
  <c r="T13" i="15"/>
  <c r="T19" i="19"/>
  <c r="T17" i="15"/>
  <c r="O15" i="15"/>
  <c r="T15" i="15" s="1"/>
  <c r="T34" i="19"/>
  <c r="M12" i="19"/>
  <c r="T11" i="19"/>
  <c r="T16" i="15"/>
  <c r="O58" i="18"/>
  <c r="T58" i="18"/>
  <c r="N34" i="15"/>
  <c r="T34" i="15" s="1"/>
  <c r="Q40" i="16"/>
  <c r="R40" i="16"/>
  <c r="O36" i="16"/>
  <c r="N36" i="16"/>
  <c r="R36" i="16"/>
  <c r="O35" i="16"/>
  <c r="Q28" i="16"/>
  <c r="T28" i="16"/>
  <c r="N27" i="16"/>
  <c r="O27" i="16"/>
  <c r="R27" i="16"/>
  <c r="O22" i="16"/>
  <c r="R22" i="16"/>
  <c r="T22" i="16" s="1"/>
  <c r="O17" i="19"/>
  <c r="T18" i="15"/>
  <c r="T26" i="15"/>
  <c r="V55" i="18" l="1"/>
  <c r="T13" i="16"/>
  <c r="U34" i="18"/>
  <c r="V15" i="16"/>
  <c r="Z15" i="16" s="1"/>
  <c r="AA15" i="16" s="1"/>
  <c r="U45" i="15"/>
  <c r="T18" i="16"/>
  <c r="U18" i="16" s="1"/>
  <c r="V23" i="18"/>
  <c r="W23" i="18"/>
  <c r="Y23" i="18"/>
  <c r="U23" i="18"/>
  <c r="Y30" i="19"/>
  <c r="W30" i="19"/>
  <c r="X30" i="19"/>
  <c r="U30" i="19"/>
  <c r="Z30" i="19" s="1"/>
  <c r="AA30" i="19" s="1"/>
  <c r="AD30" i="19" s="1"/>
  <c r="V30" i="19"/>
  <c r="T37" i="18"/>
  <c r="W15" i="16"/>
  <c r="AC15" i="16" s="1"/>
  <c r="Y15" i="18"/>
  <c r="Y19" i="15"/>
  <c r="W20" i="16"/>
  <c r="Y34" i="18"/>
  <c r="T12" i="18"/>
  <c r="W12" i="18" s="1"/>
  <c r="V31" i="15"/>
  <c r="T44" i="18"/>
  <c r="X15" i="16"/>
  <c r="X15" i="18"/>
  <c r="Z15" i="18" s="1"/>
  <c r="AA15" i="18" s="1"/>
  <c r="AD15" i="18" s="1"/>
  <c r="T30" i="16"/>
  <c r="W19" i="15"/>
  <c r="X20" i="16"/>
  <c r="Z20" i="16" s="1"/>
  <c r="AA20" i="16" s="1"/>
  <c r="AD20" i="16" s="1"/>
  <c r="Y20" i="16"/>
  <c r="X34" i="18"/>
  <c r="T14" i="19"/>
  <c r="T29" i="16"/>
  <c r="U29" i="16" s="1"/>
  <c r="T33" i="16"/>
  <c r="W33" i="16" s="1"/>
  <c r="Y31" i="15"/>
  <c r="X21" i="19"/>
  <c r="X16" i="19"/>
  <c r="V29" i="19"/>
  <c r="AC29" i="19" s="1"/>
  <c r="AD29" i="19" s="1"/>
  <c r="AH29" i="19" s="1"/>
  <c r="AL29" i="19" s="1"/>
  <c r="U15" i="16"/>
  <c r="T36" i="16"/>
  <c r="T24" i="19"/>
  <c r="Y24" i="19" s="1"/>
  <c r="W45" i="15"/>
  <c r="U15" i="18"/>
  <c r="U19" i="15"/>
  <c r="W34" i="18"/>
  <c r="Z34" i="18" s="1"/>
  <c r="AA34" i="18" s="1"/>
  <c r="W31" i="15"/>
  <c r="Z31" i="15" s="1"/>
  <c r="AA31" i="15" s="1"/>
  <c r="AD31" i="15" s="1"/>
  <c r="Y14" i="18"/>
  <c r="X22" i="19"/>
  <c r="T15" i="17"/>
  <c r="W15" i="17" s="1"/>
  <c r="T17" i="17"/>
  <c r="W17" i="17" s="1"/>
  <c r="N12" i="16"/>
  <c r="T29" i="15"/>
  <c r="X14" i="15"/>
  <c r="U14" i="15"/>
  <c r="Y14" i="15"/>
  <c r="X26" i="18"/>
  <c r="W61" i="18"/>
  <c r="AC61" i="18" s="1"/>
  <c r="T35" i="16"/>
  <c r="X35" i="16" s="1"/>
  <c r="V48" i="18"/>
  <c r="U61" i="18"/>
  <c r="Y61" i="18"/>
  <c r="W26" i="18"/>
  <c r="V37" i="16"/>
  <c r="W37" i="16"/>
  <c r="AC57" i="18"/>
  <c r="U48" i="18"/>
  <c r="W57" i="18"/>
  <c r="X48" i="18"/>
  <c r="T42" i="16"/>
  <c r="V42" i="16" s="1"/>
  <c r="V11" i="16"/>
  <c r="Y27" i="18"/>
  <c r="U57" i="18"/>
  <c r="Z57" i="18" s="1"/>
  <c r="AA57" i="18" s="1"/>
  <c r="W48" i="18"/>
  <c r="V45" i="15"/>
  <c r="U16" i="19"/>
  <c r="Y18" i="19"/>
  <c r="Y17" i="16"/>
  <c r="U60" i="18"/>
  <c r="Y16" i="19"/>
  <c r="V18" i="19"/>
  <c r="W17" i="16"/>
  <c r="V14" i="18"/>
  <c r="V34" i="16"/>
  <c r="W16" i="19"/>
  <c r="AC16" i="19" s="1"/>
  <c r="Z29" i="19"/>
  <c r="AA29" i="19" s="1"/>
  <c r="Y37" i="18"/>
  <c r="V37" i="18"/>
  <c r="W37" i="18"/>
  <c r="U37" i="18"/>
  <c r="X37" i="18"/>
  <c r="Y20" i="19"/>
  <c r="X20" i="19"/>
  <c r="U20" i="19"/>
  <c r="W20" i="19"/>
  <c r="V20" i="19"/>
  <c r="Y21" i="15"/>
  <c r="U21" i="15"/>
  <c r="V21" i="15"/>
  <c r="W21" i="15"/>
  <c r="X21" i="15"/>
  <c r="X44" i="18"/>
  <c r="U44" i="18"/>
  <c r="V44" i="18"/>
  <c r="Y44" i="18"/>
  <c r="AC44" i="18" s="1"/>
  <c r="W44" i="18"/>
  <c r="Y39" i="18"/>
  <c r="U39" i="18"/>
  <c r="V39" i="18"/>
  <c r="O56" i="18"/>
  <c r="T56" i="18" s="1"/>
  <c r="N56" i="18"/>
  <c r="AC38" i="18"/>
  <c r="W11" i="16"/>
  <c r="T38" i="16"/>
  <c r="W38" i="16" s="1"/>
  <c r="U21" i="19"/>
  <c r="W60" i="18"/>
  <c r="V35" i="19"/>
  <c r="V14" i="16"/>
  <c r="W14" i="16"/>
  <c r="X14" i="16"/>
  <c r="U14" i="16"/>
  <c r="Y14" i="16"/>
  <c r="T40" i="16"/>
  <c r="Y40" i="16" s="1"/>
  <c r="T49" i="18"/>
  <c r="V49" i="18" s="1"/>
  <c r="X15" i="19"/>
  <c r="W39" i="18"/>
  <c r="X14" i="18"/>
  <c r="X11" i="16"/>
  <c r="V14" i="15"/>
  <c r="W14" i="15"/>
  <c r="X55" i="18"/>
  <c r="W18" i="19"/>
  <c r="U18" i="19"/>
  <c r="V17" i="16"/>
  <c r="U40" i="15"/>
  <c r="W21" i="19"/>
  <c r="X23" i="18"/>
  <c r="AC23" i="18" s="1"/>
  <c r="V60" i="18"/>
  <c r="X60" i="18"/>
  <c r="Y34" i="16"/>
  <c r="W22" i="19"/>
  <c r="AC22" i="19" s="1"/>
  <c r="T26" i="17"/>
  <c r="W26" i="17" s="1"/>
  <c r="T20" i="17"/>
  <c r="W20" i="17" s="1"/>
  <c r="T18" i="18"/>
  <c r="U35" i="19"/>
  <c r="W35" i="19"/>
  <c r="W15" i="19"/>
  <c r="U55" i="18"/>
  <c r="V27" i="18"/>
  <c r="T28" i="15"/>
  <c r="X28" i="15" s="1"/>
  <c r="U34" i="16"/>
  <c r="V15" i="19"/>
  <c r="X39" i="18"/>
  <c r="W55" i="18"/>
  <c r="T31" i="19"/>
  <c r="W31" i="19" s="1"/>
  <c r="U11" i="16"/>
  <c r="AC11" i="16" s="1"/>
  <c r="X17" i="16"/>
  <c r="X27" i="18"/>
  <c r="V21" i="19"/>
  <c r="X34" i="16"/>
  <c r="U15" i="19"/>
  <c r="Y35" i="19"/>
  <c r="U14" i="18"/>
  <c r="Z14" i="18" s="1"/>
  <c r="AA14" i="18" s="1"/>
  <c r="O12" i="16"/>
  <c r="T12" i="16" s="1"/>
  <c r="T27" i="15"/>
  <c r="X27" i="15" s="1"/>
  <c r="U26" i="17"/>
  <c r="X20" i="17"/>
  <c r="Y20" i="17"/>
  <c r="W30" i="17"/>
  <c r="U30" i="17"/>
  <c r="T18" i="17"/>
  <c r="V18" i="17" s="1"/>
  <c r="O27" i="17"/>
  <c r="T27" i="17" s="1"/>
  <c r="Y21" i="17"/>
  <c r="X16" i="17"/>
  <c r="W16" i="17"/>
  <c r="U16" i="17"/>
  <c r="V16" i="17"/>
  <c r="Y16" i="17"/>
  <c r="T33" i="17"/>
  <c r="Y33" i="17" s="1"/>
  <c r="X19" i="17"/>
  <c r="V19" i="17"/>
  <c r="U19" i="17"/>
  <c r="Y30" i="17"/>
  <c r="Y19" i="17"/>
  <c r="Z31" i="17"/>
  <c r="AA31" i="17" s="1"/>
  <c r="AD31" i="17" s="1"/>
  <c r="V30" i="17"/>
  <c r="X30" i="17"/>
  <c r="V21" i="17"/>
  <c r="U21" i="17"/>
  <c r="X21" i="17"/>
  <c r="AC41" i="18"/>
  <c r="Y47" i="18"/>
  <c r="X37" i="16"/>
  <c r="V32" i="17"/>
  <c r="U32" i="17"/>
  <c r="W32" i="17"/>
  <c r="X32" i="17"/>
  <c r="Y32" i="17"/>
  <c r="W47" i="18"/>
  <c r="Y37" i="16"/>
  <c r="Y40" i="15"/>
  <c r="W40" i="15"/>
  <c r="Y15" i="17"/>
  <c r="V15" i="17"/>
  <c r="X33" i="19"/>
  <c r="Y33" i="19"/>
  <c r="U33" i="19"/>
  <c r="V33" i="19"/>
  <c r="Z13" i="19"/>
  <c r="AA13" i="19" s="1"/>
  <c r="X47" i="18"/>
  <c r="U27" i="18"/>
  <c r="U37" i="16"/>
  <c r="Y14" i="19"/>
  <c r="V14" i="19"/>
  <c r="W14" i="19"/>
  <c r="X14" i="19"/>
  <c r="U14" i="19"/>
  <c r="V35" i="16"/>
  <c r="Y35" i="16"/>
  <c r="W34" i="15"/>
  <c r="X34" i="15"/>
  <c r="U34" i="15"/>
  <c r="Y34" i="15"/>
  <c r="V34" i="15"/>
  <c r="Y31" i="19"/>
  <c r="Y25" i="18"/>
  <c r="U25" i="18"/>
  <c r="X25" i="18"/>
  <c r="V25" i="18"/>
  <c r="W25" i="18"/>
  <c r="V38" i="16"/>
  <c r="U28" i="15"/>
  <c r="Y22" i="16"/>
  <c r="V22" i="16"/>
  <c r="U22" i="16"/>
  <c r="W22" i="16"/>
  <c r="X22" i="16"/>
  <c r="X24" i="19"/>
  <c r="U50" i="18"/>
  <c r="W50" i="18"/>
  <c r="V50" i="18"/>
  <c r="X50" i="18"/>
  <c r="Y50" i="18"/>
  <c r="Y11" i="17"/>
  <c r="U11" i="17"/>
  <c r="X11" i="17"/>
  <c r="W11" i="17"/>
  <c r="V11" i="17"/>
  <c r="Y29" i="16"/>
  <c r="W29" i="16"/>
  <c r="V29" i="16"/>
  <c r="X39" i="16"/>
  <c r="W39" i="16"/>
  <c r="V39" i="16"/>
  <c r="U39" i="16"/>
  <c r="Y39" i="16"/>
  <c r="X59" i="18"/>
  <c r="Y59" i="18"/>
  <c r="V59" i="18"/>
  <c r="U59" i="18"/>
  <c r="W59" i="18"/>
  <c r="U30" i="16"/>
  <c r="Y30" i="16"/>
  <c r="X30" i="16"/>
  <c r="W30" i="16"/>
  <c r="V30" i="16"/>
  <c r="V32" i="15"/>
  <c r="X32" i="15"/>
  <c r="W32" i="15"/>
  <c r="Y32" i="15"/>
  <c r="U32" i="15"/>
  <c r="X12" i="18"/>
  <c r="X21" i="16"/>
  <c r="Y21" i="16"/>
  <c r="W21" i="16"/>
  <c r="U21" i="16"/>
  <c r="V21" i="16"/>
  <c r="Y36" i="16"/>
  <c r="W36" i="16"/>
  <c r="X36" i="16"/>
  <c r="U36" i="16"/>
  <c r="V36" i="16"/>
  <c r="Y32" i="19"/>
  <c r="U32" i="19"/>
  <c r="X32" i="19"/>
  <c r="V32" i="19"/>
  <c r="W32" i="19"/>
  <c r="U58" i="18"/>
  <c r="Y58" i="18"/>
  <c r="X58" i="18"/>
  <c r="W58" i="18"/>
  <c r="V58" i="18"/>
  <c r="N12" i="19"/>
  <c r="T12" i="19" s="1"/>
  <c r="O12" i="19"/>
  <c r="W15" i="15"/>
  <c r="Y15" i="15"/>
  <c r="U15" i="15"/>
  <c r="X15" i="15"/>
  <c r="V15" i="15"/>
  <c r="U13" i="16"/>
  <c r="Y13" i="16"/>
  <c r="X13" i="16"/>
  <c r="V13" i="16"/>
  <c r="W13" i="16"/>
  <c r="U26" i="16"/>
  <c r="W26" i="16"/>
  <c r="V26" i="16"/>
  <c r="X26" i="16"/>
  <c r="Y26" i="16"/>
  <c r="Y28" i="17"/>
  <c r="X28" i="17"/>
  <c r="W28" i="17"/>
  <c r="V28" i="17"/>
  <c r="U28" i="17"/>
  <c r="U11" i="18"/>
  <c r="X11" i="18"/>
  <c r="Y11" i="18"/>
  <c r="V11" i="18"/>
  <c r="W11" i="18"/>
  <c r="V24" i="18"/>
  <c r="U24" i="18"/>
  <c r="X24" i="18"/>
  <c r="W24" i="18"/>
  <c r="Y24" i="18"/>
  <c r="U42" i="18"/>
  <c r="V42" i="18"/>
  <c r="W42" i="18"/>
  <c r="X42" i="18"/>
  <c r="Y42" i="18"/>
  <c r="V25" i="16"/>
  <c r="W25" i="16"/>
  <c r="Y25" i="16"/>
  <c r="X25" i="16"/>
  <c r="U25" i="16"/>
  <c r="Z41" i="18"/>
  <c r="AA41" i="18" s="1"/>
  <c r="AD41" i="18" s="1"/>
  <c r="AI41" i="18" s="1"/>
  <c r="AM41" i="18" s="1"/>
  <c r="X18" i="15"/>
  <c r="U18" i="15"/>
  <c r="V18" i="15"/>
  <c r="Y18" i="15"/>
  <c r="W18" i="15"/>
  <c r="T27" i="16"/>
  <c r="V34" i="19"/>
  <c r="W34" i="19"/>
  <c r="U34" i="19"/>
  <c r="X34" i="19"/>
  <c r="Y34" i="19"/>
  <c r="U13" i="15"/>
  <c r="Y13" i="15"/>
  <c r="V13" i="15"/>
  <c r="X13" i="15"/>
  <c r="W13" i="15"/>
  <c r="T23" i="16"/>
  <c r="V43" i="15"/>
  <c r="W43" i="15"/>
  <c r="U43" i="15"/>
  <c r="X43" i="15"/>
  <c r="Y43" i="15"/>
  <c r="T19" i="16"/>
  <c r="W21" i="18"/>
  <c r="U21" i="18"/>
  <c r="X21" i="18"/>
  <c r="V21" i="18"/>
  <c r="Y21" i="18"/>
  <c r="Y17" i="18"/>
  <c r="X17" i="18"/>
  <c r="W17" i="18"/>
  <c r="V17" i="18"/>
  <c r="U17" i="18"/>
  <c r="Y16" i="18"/>
  <c r="V16" i="18"/>
  <c r="U16" i="18"/>
  <c r="W16" i="18"/>
  <c r="X16" i="18"/>
  <c r="W36" i="18"/>
  <c r="V36" i="18"/>
  <c r="X36" i="18"/>
  <c r="Y36" i="18"/>
  <c r="U36" i="18"/>
  <c r="Z38" i="18"/>
  <c r="AA38" i="18" s="1"/>
  <c r="AD38" i="18" s="1"/>
  <c r="Y19" i="18"/>
  <c r="X19" i="18"/>
  <c r="V19" i="18"/>
  <c r="W19" i="18"/>
  <c r="U19" i="18"/>
  <c r="Z19" i="15"/>
  <c r="AA19" i="15" s="1"/>
  <c r="W62" i="18"/>
  <c r="Y62" i="18"/>
  <c r="V62" i="18"/>
  <c r="X62" i="18"/>
  <c r="U62" i="18"/>
  <c r="W46" i="18"/>
  <c r="V46" i="18"/>
  <c r="U46" i="18"/>
  <c r="X46" i="18"/>
  <c r="Y46" i="18"/>
  <c r="Y24" i="16"/>
  <c r="U24" i="16"/>
  <c r="W24" i="16"/>
  <c r="X24" i="16"/>
  <c r="V24" i="16"/>
  <c r="V33" i="16"/>
  <c r="AC13" i="19"/>
  <c r="W28" i="16"/>
  <c r="V28" i="16"/>
  <c r="X28" i="16"/>
  <c r="Y28" i="16"/>
  <c r="U28" i="16"/>
  <c r="X16" i="15"/>
  <c r="V16" i="15"/>
  <c r="U16" i="15"/>
  <c r="W16" i="15"/>
  <c r="Y16" i="15"/>
  <c r="Y17" i="15"/>
  <c r="X17" i="15"/>
  <c r="W17" i="15"/>
  <c r="U17" i="15"/>
  <c r="V17" i="15"/>
  <c r="X33" i="15"/>
  <c r="W33" i="15"/>
  <c r="V33" i="15"/>
  <c r="Y33" i="15"/>
  <c r="U33" i="15"/>
  <c r="Y42" i="15"/>
  <c r="U42" i="15"/>
  <c r="W42" i="15"/>
  <c r="V42" i="15"/>
  <c r="X42" i="15"/>
  <c r="O12" i="15"/>
  <c r="T12" i="15" s="1"/>
  <c r="X28" i="18"/>
  <c r="Y28" i="18"/>
  <c r="V28" i="18"/>
  <c r="U28" i="18"/>
  <c r="W28" i="18"/>
  <c r="W30" i="15"/>
  <c r="X30" i="15"/>
  <c r="Y30" i="15"/>
  <c r="U30" i="15"/>
  <c r="V30" i="15"/>
  <c r="U40" i="18"/>
  <c r="X40" i="18"/>
  <c r="W40" i="18"/>
  <c r="V40" i="18"/>
  <c r="Y40" i="18"/>
  <c r="N12" i="17"/>
  <c r="O12" i="17"/>
  <c r="Y20" i="18"/>
  <c r="U20" i="18"/>
  <c r="V20" i="18"/>
  <c r="X20" i="18"/>
  <c r="W20" i="18"/>
  <c r="X45" i="18"/>
  <c r="W45" i="18"/>
  <c r="U45" i="18"/>
  <c r="V45" i="18"/>
  <c r="Y45" i="18"/>
  <c r="U13" i="18"/>
  <c r="Y13" i="18"/>
  <c r="X13" i="18"/>
  <c r="W13" i="18"/>
  <c r="V13" i="18"/>
  <c r="AC18" i="19"/>
  <c r="T43" i="18"/>
  <c r="T32" i="16"/>
  <c r="V20" i="15"/>
  <c r="W20" i="15"/>
  <c r="X20" i="15"/>
  <c r="Y20" i="15"/>
  <c r="U20" i="15"/>
  <c r="X18" i="17"/>
  <c r="Y26" i="15"/>
  <c r="X26" i="15"/>
  <c r="W26" i="15"/>
  <c r="U26" i="15"/>
  <c r="AC26" i="15" s="1"/>
  <c r="V26" i="15"/>
  <c r="T17" i="19"/>
  <c r="X11" i="19"/>
  <c r="U11" i="19"/>
  <c r="W11" i="19"/>
  <c r="V11" i="19"/>
  <c r="Y11" i="19"/>
  <c r="U41" i="16"/>
  <c r="Y41" i="16"/>
  <c r="V41" i="16"/>
  <c r="W41" i="16"/>
  <c r="X41" i="16"/>
  <c r="Y19" i="19"/>
  <c r="U19" i="19"/>
  <c r="X19" i="19"/>
  <c r="W19" i="19"/>
  <c r="V19" i="19"/>
  <c r="T16" i="16"/>
  <c r="T23" i="19"/>
  <c r="Y11" i="15"/>
  <c r="V11" i="15"/>
  <c r="U11" i="15"/>
  <c r="W11" i="15"/>
  <c r="X11" i="15"/>
  <c r="Y29" i="18"/>
  <c r="W29" i="18"/>
  <c r="V29" i="18"/>
  <c r="U29" i="18"/>
  <c r="X29" i="18"/>
  <c r="W35" i="18"/>
  <c r="V35" i="18"/>
  <c r="X35" i="18"/>
  <c r="U35" i="18"/>
  <c r="Y35" i="18"/>
  <c r="Y14" i="17"/>
  <c r="U14" i="17"/>
  <c r="W14" i="17"/>
  <c r="V14" i="17"/>
  <c r="X14" i="17"/>
  <c r="AC19" i="15"/>
  <c r="Y13" i="17"/>
  <c r="V13" i="17"/>
  <c r="W13" i="17"/>
  <c r="U13" i="17"/>
  <c r="X13" i="17"/>
  <c r="T22" i="18"/>
  <c r="T31" i="16"/>
  <c r="W29" i="17"/>
  <c r="X29" i="17"/>
  <c r="Y29" i="17"/>
  <c r="V29" i="17"/>
  <c r="U29" i="17"/>
  <c r="T44" i="15"/>
  <c r="W27" i="15" l="1"/>
  <c r="U27" i="15"/>
  <c r="Y27" i="15"/>
  <c r="V27" i="15"/>
  <c r="Z11" i="16"/>
  <c r="AA11" i="16" s="1"/>
  <c r="U24" i="19"/>
  <c r="V28" i="15"/>
  <c r="Y18" i="16"/>
  <c r="X18" i="16"/>
  <c r="W18" i="16"/>
  <c r="V18" i="16"/>
  <c r="U18" i="17"/>
  <c r="W18" i="17"/>
  <c r="V12" i="18"/>
  <c r="U12" i="18"/>
  <c r="AC12" i="18" s="1"/>
  <c r="AC33" i="19"/>
  <c r="Z19" i="17"/>
  <c r="AA19" i="17" s="1"/>
  <c r="Z34" i="16"/>
  <c r="AA34" i="16" s="1"/>
  <c r="Z14" i="15"/>
  <c r="AA14" i="15" s="1"/>
  <c r="AD14" i="15" s="1"/>
  <c r="AC21" i="19"/>
  <c r="Y18" i="17"/>
  <c r="AC34" i="18"/>
  <c r="AD34" i="18" s="1"/>
  <c r="U33" i="16"/>
  <c r="AC33" i="16" s="1"/>
  <c r="Y33" i="16"/>
  <c r="Y12" i="18"/>
  <c r="U40" i="16"/>
  <c r="X29" i="16"/>
  <c r="AC29" i="16" s="1"/>
  <c r="V24" i="19"/>
  <c r="Z24" i="19" s="1"/>
  <c r="AA24" i="19" s="1"/>
  <c r="U31" i="19"/>
  <c r="Z47" i="18"/>
  <c r="AA47" i="18" s="1"/>
  <c r="X15" i="17"/>
  <c r="AC15" i="17" s="1"/>
  <c r="Y17" i="17"/>
  <c r="U17" i="17"/>
  <c r="X17" i="17"/>
  <c r="Z15" i="19"/>
  <c r="AA15" i="19" s="1"/>
  <c r="Z55" i="18"/>
  <c r="AA55" i="18" s="1"/>
  <c r="AC60" i="18"/>
  <c r="Z37" i="18"/>
  <c r="AA37" i="18" s="1"/>
  <c r="AD37" i="18" s="1"/>
  <c r="Z16" i="19"/>
  <c r="AA16" i="19" s="1"/>
  <c r="AD16" i="19" s="1"/>
  <c r="AH16" i="19" s="1"/>
  <c r="AL16" i="19" s="1"/>
  <c r="Y29" i="15"/>
  <c r="U29" i="15"/>
  <c r="V29" i="15"/>
  <c r="X29" i="15"/>
  <c r="W29" i="15"/>
  <c r="Z17" i="16"/>
  <c r="AA17" i="16" s="1"/>
  <c r="X33" i="16"/>
  <c r="X33" i="17"/>
  <c r="X40" i="16"/>
  <c r="W24" i="19"/>
  <c r="U15" i="17"/>
  <c r="Z15" i="17" s="1"/>
  <c r="AA15" i="17" s="1"/>
  <c r="V17" i="17"/>
  <c r="Z17" i="17" s="1"/>
  <c r="AA17" i="17" s="1"/>
  <c r="Z14" i="16"/>
  <c r="AA14" i="16" s="1"/>
  <c r="AD14" i="16" s="1"/>
  <c r="Z45" i="15"/>
  <c r="AC45" i="15" s="1"/>
  <c r="Z26" i="18"/>
  <c r="AC26" i="18" s="1"/>
  <c r="AD15" i="16"/>
  <c r="AD57" i="18"/>
  <c r="U38" i="16"/>
  <c r="Y38" i="16"/>
  <c r="X38" i="16"/>
  <c r="W35" i="16"/>
  <c r="Z48" i="18"/>
  <c r="AA48" i="18" s="1"/>
  <c r="U35" i="16"/>
  <c r="Z27" i="18"/>
  <c r="AA27" i="18" s="1"/>
  <c r="Z61" i="18"/>
  <c r="AA61" i="18" s="1"/>
  <c r="AD61" i="18" s="1"/>
  <c r="AI61" i="18" s="1"/>
  <c r="AM61" i="18" s="1"/>
  <c r="U42" i="16"/>
  <c r="U49" i="18"/>
  <c r="W40" i="16"/>
  <c r="X42" i="16"/>
  <c r="AC30" i="17"/>
  <c r="W42" i="16"/>
  <c r="Y42" i="16"/>
  <c r="V40" i="16"/>
  <c r="W28" i="15"/>
  <c r="AD11" i="16"/>
  <c r="AC55" i="18"/>
  <c r="Y28" i="15"/>
  <c r="Z28" i="15" s="1"/>
  <c r="AA28" i="15" s="1"/>
  <c r="Z25" i="16"/>
  <c r="AA25" i="16" s="1"/>
  <c r="V20" i="17"/>
  <c r="U20" i="17"/>
  <c r="AC20" i="17" s="1"/>
  <c r="Z21" i="19"/>
  <c r="AA21" i="19" s="1"/>
  <c r="Z60" i="18"/>
  <c r="AA60" i="18" s="1"/>
  <c r="Z18" i="19"/>
  <c r="AA18" i="19" s="1"/>
  <c r="AD18" i="19" s="1"/>
  <c r="AH18" i="19" s="1"/>
  <c r="AL18" i="19" s="1"/>
  <c r="Z22" i="19"/>
  <c r="AA22" i="19" s="1"/>
  <c r="AC20" i="19"/>
  <c r="AC40" i="15"/>
  <c r="AC34" i="16"/>
  <c r="AC17" i="16"/>
  <c r="AD17" i="16" s="1"/>
  <c r="Z44" i="18"/>
  <c r="AA44" i="18" s="1"/>
  <c r="AD44" i="18" s="1"/>
  <c r="AI44" i="18" s="1"/>
  <c r="AM44" i="18" s="1"/>
  <c r="Y56" i="18"/>
  <c r="V56" i="18"/>
  <c r="U56" i="18"/>
  <c r="X56" i="18"/>
  <c r="W56" i="18"/>
  <c r="V12" i="16"/>
  <c r="U12" i="16"/>
  <c r="W12" i="16"/>
  <c r="X12" i="16"/>
  <c r="Y12" i="16"/>
  <c r="AC26" i="16"/>
  <c r="AC35" i="19"/>
  <c r="Z20" i="19"/>
  <c r="AA20" i="19" s="1"/>
  <c r="AC16" i="18"/>
  <c r="X49" i="18"/>
  <c r="AC14" i="18"/>
  <c r="AD14" i="18" s="1"/>
  <c r="AI14" i="18" s="1"/>
  <c r="AM14" i="18" s="1"/>
  <c r="X26" i="17"/>
  <c r="Z35" i="19"/>
  <c r="AA35" i="19" s="1"/>
  <c r="Z20" i="15"/>
  <c r="AA20" i="15" s="1"/>
  <c r="Z23" i="18"/>
  <c r="AA23" i="18" s="1"/>
  <c r="AD23" i="18" s="1"/>
  <c r="AI23" i="18" s="1"/>
  <c r="AM23" i="18" s="1"/>
  <c r="AC17" i="18"/>
  <c r="W49" i="18"/>
  <c r="Y49" i="18"/>
  <c r="X31" i="19"/>
  <c r="AC31" i="19" s="1"/>
  <c r="V31" i="19"/>
  <c r="Y26" i="17"/>
  <c r="AA26" i="18"/>
  <c r="Z21" i="15"/>
  <c r="AD22" i="19"/>
  <c r="AH22" i="19" s="1"/>
  <c r="AL22" i="19" s="1"/>
  <c r="AC40" i="18"/>
  <c r="Z39" i="16"/>
  <c r="AA39" i="16" s="1"/>
  <c r="Z14" i="19"/>
  <c r="AA14" i="19" s="1"/>
  <c r="AD14" i="19" s="1"/>
  <c r="Z33" i="19"/>
  <c r="AA33" i="19" s="1"/>
  <c r="AD33" i="19" s="1"/>
  <c r="AH33" i="19" s="1"/>
  <c r="AL33" i="19" s="1"/>
  <c r="Z37" i="16"/>
  <c r="AA37" i="16" s="1"/>
  <c r="Z30" i="17"/>
  <c r="AA30" i="17" s="1"/>
  <c r="V26" i="17"/>
  <c r="AC15" i="19"/>
  <c r="AD15" i="19" s="1"/>
  <c r="AH15" i="19" s="1"/>
  <c r="AL15" i="19" s="1"/>
  <c r="X18" i="18"/>
  <c r="Y18" i="18"/>
  <c r="U18" i="18"/>
  <c r="V18" i="18"/>
  <c r="W18" i="18"/>
  <c r="Z39" i="18"/>
  <c r="AA39" i="18" s="1"/>
  <c r="AD39" i="18" s="1"/>
  <c r="AI38" i="18" s="1"/>
  <c r="AM38" i="18" s="1"/>
  <c r="Z27" i="15"/>
  <c r="AA27" i="15" s="1"/>
  <c r="AD27" i="15" s="1"/>
  <c r="U27" i="17"/>
  <c r="X27" i="17"/>
  <c r="W27" i="17"/>
  <c r="Y27" i="17"/>
  <c r="AC17" i="17"/>
  <c r="V27" i="17"/>
  <c r="AC19" i="17"/>
  <c r="AD19" i="17" s="1"/>
  <c r="AH19" i="17" s="1"/>
  <c r="AL19" i="17" s="1"/>
  <c r="T12" i="17"/>
  <c r="W12" i="17" s="1"/>
  <c r="W33" i="17"/>
  <c r="U33" i="17"/>
  <c r="Z16" i="17"/>
  <c r="AA16" i="17" s="1"/>
  <c r="AD16" i="17" s="1"/>
  <c r="V33" i="17"/>
  <c r="AC11" i="17"/>
  <c r="Z21" i="17"/>
  <c r="AC21" i="17" s="1"/>
  <c r="Z28" i="17"/>
  <c r="AA28" i="17" s="1"/>
  <c r="AC30" i="16"/>
  <c r="AD60" i="18"/>
  <c r="AI60" i="18" s="1"/>
  <c r="AM60" i="18" s="1"/>
  <c r="Z32" i="15"/>
  <c r="AA32" i="15" s="1"/>
  <c r="AC11" i="19"/>
  <c r="AC20" i="18"/>
  <c r="Z30" i="15"/>
  <c r="AA30" i="15" s="1"/>
  <c r="AC17" i="15"/>
  <c r="AD13" i="19"/>
  <c r="AC18" i="15"/>
  <c r="AC11" i="15"/>
  <c r="Z46" i="18"/>
  <c r="AA46" i="18" s="1"/>
  <c r="AC34" i="19"/>
  <c r="AC42" i="18"/>
  <c r="AD21" i="19"/>
  <c r="AH21" i="19" s="1"/>
  <c r="AL21" i="19" s="1"/>
  <c r="Z40" i="15"/>
  <c r="AA40" i="15" s="1"/>
  <c r="AC24" i="16"/>
  <c r="AD19" i="15"/>
  <c r="AI19" i="15" s="1"/>
  <c r="AM19" i="15" s="1"/>
  <c r="Z36" i="18"/>
  <c r="AA36" i="18" s="1"/>
  <c r="AC22" i="16"/>
  <c r="AC32" i="17"/>
  <c r="Z32" i="17"/>
  <c r="AA32" i="17" s="1"/>
  <c r="X12" i="15"/>
  <c r="U12" i="15"/>
  <c r="V12" i="15"/>
  <c r="W12" i="15"/>
  <c r="Y12" i="15"/>
  <c r="Y16" i="16"/>
  <c r="X16" i="16"/>
  <c r="U16" i="16"/>
  <c r="V16" i="16"/>
  <c r="W16" i="16"/>
  <c r="AC36" i="18"/>
  <c r="Z11" i="18"/>
  <c r="AA11" i="18" s="1"/>
  <c r="AC11" i="18"/>
  <c r="Z58" i="18"/>
  <c r="AA58" i="18" s="1"/>
  <c r="AD58" i="18" s="1"/>
  <c r="Z25" i="18"/>
  <c r="Z29" i="17"/>
  <c r="AA29" i="17" s="1"/>
  <c r="AD29" i="17" s="1"/>
  <c r="W31" i="16"/>
  <c r="V31" i="16"/>
  <c r="U31" i="16"/>
  <c r="Y31" i="16"/>
  <c r="X31" i="16"/>
  <c r="Z35" i="18"/>
  <c r="AA35" i="18" s="1"/>
  <c r="AD35" i="18" s="1"/>
  <c r="Z19" i="19"/>
  <c r="AA19" i="19" s="1"/>
  <c r="AC19" i="19"/>
  <c r="Z41" i="16"/>
  <c r="X12" i="19"/>
  <c r="V12" i="19"/>
  <c r="W12" i="19"/>
  <c r="Y12" i="19"/>
  <c r="U12" i="19"/>
  <c r="Z26" i="15"/>
  <c r="AA26" i="15" s="1"/>
  <c r="AD26" i="15" s="1"/>
  <c r="AC46" i="18"/>
  <c r="Z13" i="18"/>
  <c r="AA13" i="18" s="1"/>
  <c r="AD13" i="18" s="1"/>
  <c r="Z28" i="18"/>
  <c r="Z33" i="15"/>
  <c r="AA33" i="15" s="1"/>
  <c r="AC33" i="15"/>
  <c r="Z28" i="16"/>
  <c r="AA28" i="16" s="1"/>
  <c r="Z19" i="18"/>
  <c r="AA19" i="18" s="1"/>
  <c r="AC19" i="18"/>
  <c r="Z21" i="18"/>
  <c r="AA21" i="18" s="1"/>
  <c r="AC21" i="18"/>
  <c r="Z13" i="15"/>
  <c r="AA13" i="15" s="1"/>
  <c r="Z34" i="19"/>
  <c r="AA34" i="19" s="1"/>
  <c r="U27" i="16"/>
  <c r="W27" i="16"/>
  <c r="V27" i="16"/>
  <c r="X27" i="16"/>
  <c r="Y27" i="16"/>
  <c r="Z13" i="16"/>
  <c r="AA13" i="16" s="1"/>
  <c r="Z15" i="15"/>
  <c r="AA15" i="15" s="1"/>
  <c r="Z32" i="19"/>
  <c r="AA32" i="19" s="1"/>
  <c r="AD32" i="19" s="1"/>
  <c r="Z21" i="16"/>
  <c r="AA21" i="16" s="1"/>
  <c r="Z59" i="18"/>
  <c r="AA59" i="18" s="1"/>
  <c r="AC59" i="18"/>
  <c r="Z11" i="17"/>
  <c r="AA11" i="17" s="1"/>
  <c r="AD11" i="17" s="1"/>
  <c r="Z50" i="18"/>
  <c r="Z22" i="16"/>
  <c r="AA22" i="16" s="1"/>
  <c r="Z34" i="15"/>
  <c r="V22" i="18"/>
  <c r="X22" i="18"/>
  <c r="Y22" i="18"/>
  <c r="U22" i="18"/>
  <c r="W22" i="18"/>
  <c r="Z13" i="17"/>
  <c r="AA13" i="17" s="1"/>
  <c r="AC48" i="18"/>
  <c r="Z29" i="18"/>
  <c r="W17" i="19"/>
  <c r="V17" i="19"/>
  <c r="X17" i="19"/>
  <c r="Y17" i="19"/>
  <c r="U17" i="19"/>
  <c r="AA45" i="15"/>
  <c r="W32" i="16"/>
  <c r="V32" i="16"/>
  <c r="Y32" i="16"/>
  <c r="X32" i="16"/>
  <c r="U32" i="16"/>
  <c r="U43" i="18"/>
  <c r="X43" i="18"/>
  <c r="Y43" i="18"/>
  <c r="V43" i="18"/>
  <c r="W43" i="18"/>
  <c r="AC47" i="18"/>
  <c r="Z40" i="18"/>
  <c r="AA40" i="18" s="1"/>
  <c r="Z16" i="15"/>
  <c r="AA16" i="15" s="1"/>
  <c r="AD16" i="15" s="1"/>
  <c r="AC28" i="16"/>
  <c r="Z16" i="18"/>
  <c r="AA16" i="18" s="1"/>
  <c r="X23" i="16"/>
  <c r="U23" i="16"/>
  <c r="W23" i="16"/>
  <c r="V23" i="16"/>
  <c r="Y23" i="16"/>
  <c r="Z42" i="18"/>
  <c r="AA42" i="18" s="1"/>
  <c r="Z24" i="18"/>
  <c r="AA24" i="18" s="1"/>
  <c r="Z26" i="16"/>
  <c r="AA26" i="16" s="1"/>
  <c r="AD26" i="16" s="1"/>
  <c r="AI26" i="16" s="1"/>
  <c r="AM26" i="16" s="1"/>
  <c r="AC15" i="15"/>
  <c r="Z36" i="16"/>
  <c r="U44" i="15"/>
  <c r="Y44" i="15"/>
  <c r="W44" i="15"/>
  <c r="V44" i="15"/>
  <c r="X44" i="15"/>
  <c r="AC13" i="17"/>
  <c r="Z11" i="15"/>
  <c r="AA11" i="15" s="1"/>
  <c r="U23" i="19"/>
  <c r="W23" i="19"/>
  <c r="Y23" i="19"/>
  <c r="X23" i="19"/>
  <c r="V23" i="19"/>
  <c r="Z11" i="19"/>
  <c r="AA11" i="19" s="1"/>
  <c r="Z18" i="17"/>
  <c r="AA18" i="17" s="1"/>
  <c r="AC18" i="17"/>
  <c r="AC20" i="15"/>
  <c r="Z45" i="18"/>
  <c r="AA45" i="18" s="1"/>
  <c r="AC45" i="18"/>
  <c r="Z20" i="18"/>
  <c r="AA20" i="18" s="1"/>
  <c r="AC30" i="15"/>
  <c r="Z42" i="15"/>
  <c r="AA42" i="15" s="1"/>
  <c r="AC42" i="15"/>
  <c r="Z17" i="15"/>
  <c r="AA17" i="15" s="1"/>
  <c r="Z24" i="16"/>
  <c r="AA24" i="16" s="1"/>
  <c r="AD24" i="16" s="1"/>
  <c r="AI24" i="16" s="1"/>
  <c r="AM24" i="16" s="1"/>
  <c r="Z62" i="18"/>
  <c r="AA62" i="18" s="1"/>
  <c r="AC62" i="18"/>
  <c r="AC24" i="18"/>
  <c r="Z17" i="18"/>
  <c r="AA17" i="18" s="1"/>
  <c r="AD17" i="18" s="1"/>
  <c r="AI17" i="18" s="1"/>
  <c r="AM17" i="18" s="1"/>
  <c r="V19" i="16"/>
  <c r="W19" i="16"/>
  <c r="U19" i="16"/>
  <c r="X19" i="16"/>
  <c r="Y19" i="16"/>
  <c r="Z43" i="15"/>
  <c r="AA43" i="15" s="1"/>
  <c r="AD43" i="15" s="1"/>
  <c r="AC13" i="15"/>
  <c r="Z18" i="15"/>
  <c r="AA18" i="15" s="1"/>
  <c r="AD18" i="15" s="1"/>
  <c r="AI18" i="15" s="1"/>
  <c r="AM18" i="15" s="1"/>
  <c r="AC25" i="16"/>
  <c r="AC28" i="17"/>
  <c r="AC13" i="16"/>
  <c r="AC21" i="16"/>
  <c r="AC32" i="15"/>
  <c r="Z30" i="16"/>
  <c r="AA30" i="16" s="1"/>
  <c r="Z14" i="17"/>
  <c r="AA14" i="17" s="1"/>
  <c r="AD14" i="17" s="1"/>
  <c r="AI26" i="15" l="1"/>
  <c r="AM26" i="15" s="1"/>
  <c r="AD55" i="18"/>
  <c r="AC28" i="15"/>
  <c r="AD30" i="17"/>
  <c r="AH30" i="17" s="1"/>
  <c r="AL30" i="17" s="1"/>
  <c r="Z38" i="16"/>
  <c r="AA38" i="16" s="1"/>
  <c r="Z18" i="16"/>
  <c r="AA18" i="16" s="1"/>
  <c r="AD18" i="16" s="1"/>
  <c r="AI17" i="16" s="1"/>
  <c r="AM17" i="16" s="1"/>
  <c r="AD20" i="15"/>
  <c r="AI20" i="15" s="1"/>
  <c r="AM20" i="15" s="1"/>
  <c r="Z12" i="18"/>
  <c r="AA12" i="18" s="1"/>
  <c r="Z29" i="16"/>
  <c r="AA29" i="16" s="1"/>
  <c r="AD29" i="16" s="1"/>
  <c r="AI29" i="16" s="1"/>
  <c r="AM29" i="16" s="1"/>
  <c r="Z12" i="16"/>
  <c r="AA12" i="16" s="1"/>
  <c r="AD12" i="16" s="1"/>
  <c r="AI11" i="16" s="1"/>
  <c r="AM11" i="16" s="1"/>
  <c r="AI34" i="18"/>
  <c r="AM34" i="18" s="1"/>
  <c r="AH13" i="19"/>
  <c r="AL13" i="19" s="1"/>
  <c r="Z40" i="16"/>
  <c r="AA40" i="16" s="1"/>
  <c r="Z35" i="16"/>
  <c r="AC35" i="16" s="1"/>
  <c r="AI57" i="18"/>
  <c r="AM57" i="18" s="1"/>
  <c r="Z29" i="15"/>
  <c r="AA29" i="15" s="1"/>
  <c r="AD29" i="15" s="1"/>
  <c r="AD17" i="17"/>
  <c r="AH17" i="17" s="1"/>
  <c r="AL17" i="17" s="1"/>
  <c r="AD30" i="15"/>
  <c r="AI30" i="15" s="1"/>
  <c r="AM30" i="15" s="1"/>
  <c r="Z33" i="16"/>
  <c r="AA33" i="16" s="1"/>
  <c r="AD25" i="16"/>
  <c r="AI25" i="16" s="1"/>
  <c r="AM25" i="16" s="1"/>
  <c r="AD34" i="16"/>
  <c r="AI34" i="16" s="1"/>
  <c r="AM34" i="16" s="1"/>
  <c r="AD22" i="16"/>
  <c r="AD28" i="15"/>
  <c r="AI28" i="15" s="1"/>
  <c r="AM28" i="15" s="1"/>
  <c r="AD30" i="16"/>
  <c r="AI30" i="16" s="1"/>
  <c r="AM30" i="16" s="1"/>
  <c r="AD40" i="15"/>
  <c r="AI40" i="15" s="1"/>
  <c r="AM40" i="15" s="1"/>
  <c r="AD20" i="19"/>
  <c r="AH20" i="19" s="1"/>
  <c r="AL20" i="19" s="1"/>
  <c r="AC37" i="16"/>
  <c r="AD37" i="16" s="1"/>
  <c r="AI37" i="16" s="1"/>
  <c r="AM37" i="16" s="1"/>
  <c r="Z42" i="16"/>
  <c r="AA42" i="16" s="1"/>
  <c r="AC39" i="16"/>
  <c r="AD39" i="16" s="1"/>
  <c r="AI39" i="16" s="1"/>
  <c r="AM39" i="16" s="1"/>
  <c r="AC27" i="18"/>
  <c r="AD27" i="18" s="1"/>
  <c r="AI27" i="18" s="1"/>
  <c r="AM27" i="18" s="1"/>
  <c r="AD47" i="18"/>
  <c r="AI47" i="18" s="1"/>
  <c r="AM47" i="18" s="1"/>
  <c r="Z49" i="18"/>
  <c r="AA49" i="18" s="1"/>
  <c r="AD20" i="18"/>
  <c r="AI20" i="18" s="1"/>
  <c r="AM20" i="18" s="1"/>
  <c r="AD35" i="19"/>
  <c r="AH35" i="19" s="1"/>
  <c r="AL35" i="19" s="1"/>
  <c r="AD46" i="18"/>
  <c r="AI46" i="18" s="1"/>
  <c r="AM46" i="18" s="1"/>
  <c r="Z31" i="19"/>
  <c r="AA31" i="19" s="1"/>
  <c r="Z20" i="17"/>
  <c r="AA20" i="17" s="1"/>
  <c r="AD20" i="17" s="1"/>
  <c r="AH20" i="17" s="1"/>
  <c r="AL20" i="17" s="1"/>
  <c r="AD16" i="18"/>
  <c r="AI16" i="18" s="1"/>
  <c r="AM16" i="18" s="1"/>
  <c r="AC18" i="18"/>
  <c r="Z18" i="18"/>
  <c r="AA18" i="18" s="1"/>
  <c r="AA21" i="15"/>
  <c r="AC21" i="15"/>
  <c r="Z26" i="17"/>
  <c r="AA26" i="17" s="1"/>
  <c r="Z56" i="18"/>
  <c r="AA56" i="18" s="1"/>
  <c r="AD56" i="18" s="1"/>
  <c r="AI55" i="18" s="1"/>
  <c r="AM55" i="18" s="1"/>
  <c r="AD32" i="15"/>
  <c r="AI32" i="15" s="1"/>
  <c r="AM32" i="15" s="1"/>
  <c r="Z12" i="19"/>
  <c r="AA12" i="19" s="1"/>
  <c r="AD12" i="19" s="1"/>
  <c r="Z33" i="17"/>
  <c r="AA33" i="17" s="1"/>
  <c r="AD26" i="18"/>
  <c r="AI26" i="18" s="1"/>
  <c r="AM26" i="18" s="1"/>
  <c r="AD40" i="18"/>
  <c r="AI40" i="18" s="1"/>
  <c r="AM40" i="18" s="1"/>
  <c r="AD19" i="19"/>
  <c r="AH19" i="19" s="1"/>
  <c r="AL19" i="19" s="1"/>
  <c r="AC26" i="17"/>
  <c r="Z23" i="16"/>
  <c r="AA23" i="16" s="1"/>
  <c r="AD23" i="16" s="1"/>
  <c r="Z27" i="17"/>
  <c r="AA27" i="17" s="1"/>
  <c r="AD27" i="17" s="1"/>
  <c r="V12" i="17"/>
  <c r="X12" i="17"/>
  <c r="U12" i="17"/>
  <c r="Y12" i="17"/>
  <c r="AD15" i="17"/>
  <c r="AH15" i="17" s="1"/>
  <c r="AL15" i="17" s="1"/>
  <c r="AD28" i="17"/>
  <c r="AH28" i="17" s="1"/>
  <c r="AL28" i="17" s="1"/>
  <c r="AA21" i="17"/>
  <c r="AD21" i="17" s="1"/>
  <c r="AH21" i="17" s="1"/>
  <c r="AL21" i="17" s="1"/>
  <c r="AD12" i="18"/>
  <c r="AI12" i="18" s="1"/>
  <c r="AM12" i="18" s="1"/>
  <c r="AD21" i="16"/>
  <c r="AI21" i="16" s="1"/>
  <c r="AM21" i="16" s="1"/>
  <c r="AD11" i="19"/>
  <c r="AD13" i="17"/>
  <c r="AH13" i="17" s="1"/>
  <c r="AL13" i="17" s="1"/>
  <c r="AC24" i="19"/>
  <c r="AD24" i="19" s="1"/>
  <c r="AH24" i="19" s="1"/>
  <c r="AL24" i="19" s="1"/>
  <c r="AD17" i="15"/>
  <c r="AI17" i="15" s="1"/>
  <c r="AM17" i="15" s="1"/>
  <c r="AC27" i="16"/>
  <c r="AD36" i="18"/>
  <c r="AI36" i="18" s="1"/>
  <c r="AM36" i="18" s="1"/>
  <c r="AD62" i="18"/>
  <c r="AI62" i="18" s="1"/>
  <c r="AM62" i="18" s="1"/>
  <c r="AD18" i="17"/>
  <c r="AH18" i="17" s="1"/>
  <c r="AL18" i="17" s="1"/>
  <c r="AD11" i="15"/>
  <c r="AD31" i="19"/>
  <c r="AH31" i="19" s="1"/>
  <c r="AL31" i="19" s="1"/>
  <c r="AD42" i="18"/>
  <c r="AI42" i="18" s="1"/>
  <c r="AM42" i="18" s="1"/>
  <c r="AD33" i="16"/>
  <c r="AI33" i="16" s="1"/>
  <c r="AM33" i="16" s="1"/>
  <c r="AD34" i="19"/>
  <c r="AH34" i="19" s="1"/>
  <c r="AL34" i="19" s="1"/>
  <c r="AD33" i="15"/>
  <c r="AI33" i="15" s="1"/>
  <c r="AM33" i="15" s="1"/>
  <c r="AD32" i="17"/>
  <c r="AH32" i="17" s="1"/>
  <c r="AL32" i="17" s="1"/>
  <c r="Z19" i="16"/>
  <c r="AA19" i="16" s="1"/>
  <c r="AH11" i="19"/>
  <c r="AL11" i="19" s="1"/>
  <c r="AA35" i="16"/>
  <c r="Z43" i="18"/>
  <c r="AA43" i="18" s="1"/>
  <c r="AC43" i="18"/>
  <c r="AA50" i="18"/>
  <c r="AC50" i="18"/>
  <c r="AD15" i="15"/>
  <c r="AI15" i="15" s="1"/>
  <c r="AM15" i="15" s="1"/>
  <c r="AC41" i="16"/>
  <c r="AA41" i="16"/>
  <c r="AC38" i="16"/>
  <c r="Z12" i="15"/>
  <c r="AA12" i="15" s="1"/>
  <c r="AD12" i="15" s="1"/>
  <c r="AI11" i="15" s="1"/>
  <c r="AM11" i="15" s="1"/>
  <c r="AC19" i="16"/>
  <c r="Z32" i="16"/>
  <c r="AA32" i="16" s="1"/>
  <c r="AC32" i="16"/>
  <c r="Z17" i="19"/>
  <c r="AA17" i="19" s="1"/>
  <c r="AC17" i="19"/>
  <c r="AD48" i="18"/>
  <c r="AI48" i="18" s="1"/>
  <c r="AM48" i="18" s="1"/>
  <c r="AC34" i="15"/>
  <c r="AA34" i="15"/>
  <c r="AD59" i="18"/>
  <c r="AI59" i="18" s="1"/>
  <c r="AM59" i="18" s="1"/>
  <c r="AD13" i="16"/>
  <c r="AI13" i="16" s="1"/>
  <c r="AM13" i="16" s="1"/>
  <c r="AD13" i="15"/>
  <c r="AI13" i="15" s="1"/>
  <c r="AM13" i="15" s="1"/>
  <c r="AD19" i="18"/>
  <c r="AI19" i="18" s="1"/>
  <c r="AM19" i="18" s="1"/>
  <c r="AA28" i="18"/>
  <c r="AC28" i="18"/>
  <c r="AD24" i="18"/>
  <c r="AI24" i="18" s="1"/>
  <c r="AM24" i="18" s="1"/>
  <c r="Z22" i="18"/>
  <c r="AA22" i="18" s="1"/>
  <c r="AC22" i="18"/>
  <c r="AD28" i="16"/>
  <c r="AI28" i="16" s="1"/>
  <c r="AM28" i="16" s="1"/>
  <c r="AD42" i="15"/>
  <c r="AI42" i="15" s="1"/>
  <c r="AM42" i="15" s="1"/>
  <c r="AD45" i="18"/>
  <c r="AI45" i="18" s="1"/>
  <c r="AM45" i="18" s="1"/>
  <c r="Z23" i="19"/>
  <c r="Z44" i="15"/>
  <c r="AA44" i="15" s="1"/>
  <c r="AC44" i="15"/>
  <c r="AA36" i="16"/>
  <c r="AC36" i="16"/>
  <c r="AD45" i="15"/>
  <c r="AI45" i="15" s="1"/>
  <c r="AM45" i="15" s="1"/>
  <c r="AA29" i="18"/>
  <c r="AC29" i="18"/>
  <c r="Z27" i="16"/>
  <c r="AA27" i="16" s="1"/>
  <c r="AD27" i="16" s="1"/>
  <c r="AI27" i="16" s="1"/>
  <c r="AM27" i="16" s="1"/>
  <c r="AD21" i="18"/>
  <c r="AI21" i="18" s="1"/>
  <c r="AM21" i="18" s="1"/>
  <c r="Z31" i="16"/>
  <c r="AA31" i="16" s="1"/>
  <c r="AC31" i="16"/>
  <c r="AA25" i="18"/>
  <c r="AC25" i="18"/>
  <c r="AD11" i="18"/>
  <c r="AI11" i="18" s="1"/>
  <c r="AM11" i="18" s="1"/>
  <c r="Z16" i="16"/>
  <c r="AA16" i="16" s="1"/>
  <c r="AD16" i="16" s="1"/>
  <c r="AI15" i="16" s="1"/>
  <c r="AM15" i="16" s="1"/>
  <c r="AC40" i="16" l="1"/>
  <c r="AD40" i="16" s="1"/>
  <c r="AI40" i="16" s="1"/>
  <c r="AM40" i="16" s="1"/>
  <c r="AC42" i="16"/>
  <c r="AD42" i="16" s="1"/>
  <c r="AI42" i="16" s="1"/>
  <c r="AM42" i="16" s="1"/>
  <c r="AI22" i="16"/>
  <c r="AM22" i="16" s="1"/>
  <c r="AD26" i="17"/>
  <c r="AH26" i="17" s="1"/>
  <c r="AL26" i="17" s="1"/>
  <c r="AD43" i="18"/>
  <c r="AI43" i="18" s="1"/>
  <c r="AM43" i="18" s="1"/>
  <c r="AD41" i="16"/>
  <c r="AI41" i="16" s="1"/>
  <c r="AM41" i="16" s="1"/>
  <c r="AD38" i="16"/>
  <c r="AI38" i="16" s="1"/>
  <c r="AM38" i="16" s="1"/>
  <c r="AC49" i="18"/>
  <c r="AD49" i="18" s="1"/>
  <c r="AI49" i="18" s="1"/>
  <c r="AM49" i="18" s="1"/>
  <c r="AC33" i="17"/>
  <c r="AD33" i="17" s="1"/>
  <c r="AH33" i="17" s="1"/>
  <c r="AL33" i="17" s="1"/>
  <c r="AD21" i="15"/>
  <c r="AI21" i="15" s="1"/>
  <c r="AM21" i="15" s="1"/>
  <c r="AD25" i="18"/>
  <c r="AI25" i="18" s="1"/>
  <c r="AM25" i="18" s="1"/>
  <c r="AD18" i="18"/>
  <c r="AI18" i="18" s="1"/>
  <c r="AM18" i="18" s="1"/>
  <c r="Z12" i="17"/>
  <c r="AA12" i="17" s="1"/>
  <c r="AD12" i="17" s="1"/>
  <c r="AH11" i="17" s="1"/>
  <c r="AL11" i="17" s="1"/>
  <c r="AD35" i="16"/>
  <c r="AI35" i="16" s="1"/>
  <c r="AM35" i="16" s="1"/>
  <c r="AD31" i="16"/>
  <c r="AI31" i="16" s="1"/>
  <c r="AM31" i="16" s="1"/>
  <c r="AD29" i="18"/>
  <c r="AI29" i="18" s="1"/>
  <c r="AM29" i="18" s="1"/>
  <c r="AD50" i="18"/>
  <c r="AI50" i="18" s="1"/>
  <c r="AM50" i="18" s="1"/>
  <c r="AA23" i="19"/>
  <c r="AC23" i="19"/>
  <c r="AD36" i="16"/>
  <c r="AI36" i="16" s="1"/>
  <c r="AM36" i="16" s="1"/>
  <c r="AD34" i="15"/>
  <c r="AI34" i="15" s="1"/>
  <c r="AM34" i="15" s="1"/>
  <c r="AD17" i="19"/>
  <c r="AH17" i="19" s="1"/>
  <c r="AL17" i="19" s="1"/>
  <c r="AD19" i="16"/>
  <c r="AI19" i="16" s="1"/>
  <c r="AM19" i="16" s="1"/>
  <c r="AD44" i="15"/>
  <c r="AI44" i="15" s="1"/>
  <c r="AM44" i="15" s="1"/>
  <c r="AD22" i="18"/>
  <c r="AI22" i="18" s="1"/>
  <c r="AM22" i="18" s="1"/>
  <c r="AD28" i="18"/>
  <c r="AI28" i="18" s="1"/>
  <c r="AM28" i="18" s="1"/>
  <c r="AD32" i="16"/>
  <c r="AI32" i="16" s="1"/>
  <c r="AM32" i="16" s="1"/>
  <c r="AD23" i="19" l="1"/>
  <c r="AH23" i="19" s="1"/>
  <c r="AL23" i="19" s="1"/>
</calcChain>
</file>

<file path=xl/comments1.xml><?xml version="1.0" encoding="utf-8"?>
<comments xmlns="http://schemas.openxmlformats.org/spreadsheetml/2006/main">
  <authors>
    <author>Jorge</author>
  </authors>
  <commentList>
    <comment ref="P21" authorId="0" shapeId="0">
      <text>
        <r>
          <rPr>
            <sz val="9"/>
            <color indexed="81"/>
            <rFont val="Tahoma"/>
            <family val="2"/>
          </rPr>
          <t xml:space="preserve">
DE 1 A 38 = $191,57  X HS
DE 39 A 48 = $38 X HS
</t>
        </r>
      </text>
    </comment>
    <comment ref="P33" authorId="0" shapeId="0">
      <text>
        <r>
          <rPr>
            <sz val="9"/>
            <color indexed="81"/>
            <rFont val="Tahoma"/>
            <family val="2"/>
          </rPr>
          <t>DE 1 A 38 = $191,57  X HS
DE 39 A 48 = $38 X HS</t>
        </r>
      </text>
    </comment>
  </commentList>
</comments>
</file>

<file path=xl/comments2.xml><?xml version="1.0" encoding="utf-8"?>
<comments xmlns="http://schemas.openxmlformats.org/spreadsheetml/2006/main">
  <authors>
    <author>Jorge</author>
  </authors>
  <commentList>
    <comment ref="P21" authorId="0" shapeId="0">
      <text>
        <r>
          <rPr>
            <sz val="9"/>
            <color indexed="81"/>
            <rFont val="Tahoma"/>
            <family val="2"/>
          </rPr>
          <t>DE 1 A 38 = $191,57  X HS
DE 39 A 48 = $38 X HS</t>
        </r>
      </text>
    </comment>
    <comment ref="P34" authorId="0" shapeId="0">
      <text>
        <r>
          <rPr>
            <sz val="9"/>
            <color indexed="81"/>
            <rFont val="Tahoma"/>
            <family val="2"/>
          </rPr>
          <t>DE 1 A 38 = $191,57  X HS
DE 39 A 48 = $38 X HS</t>
        </r>
      </text>
    </comment>
    <comment ref="P45" authorId="0" shapeId="0">
      <text>
        <r>
          <rPr>
            <sz val="9"/>
            <color indexed="81"/>
            <rFont val="Tahoma"/>
            <family val="2"/>
          </rPr>
          <t>DE 1 A 38 = $191,57  X HS
DE 39 A 48 = $38 X HS</t>
        </r>
      </text>
    </comment>
  </commentList>
</comments>
</file>

<file path=xl/comments3.xml><?xml version="1.0" encoding="utf-8"?>
<comments xmlns="http://schemas.openxmlformats.org/spreadsheetml/2006/main">
  <authors>
    <author>Jorge</author>
  </authors>
  <commentList>
    <comment ref="P35" authorId="0" shapeId="0">
      <text>
        <r>
          <rPr>
            <sz val="9"/>
            <color indexed="81"/>
            <rFont val="Tahoma"/>
            <family val="2"/>
          </rPr>
          <t>DE 1 A 38 = $191,57  X HS
DE 39 A 48 = $38 X HS</t>
        </r>
      </text>
    </comment>
    <comment ref="P36" authorId="0" shapeId="0">
      <text>
        <r>
          <rPr>
            <sz val="9"/>
            <color indexed="81"/>
            <rFont val="Tahoma"/>
            <family val="2"/>
          </rPr>
          <t xml:space="preserve">DE 1 A 38 = $191,57  X HS
DE 39 A 48 = $38 X HS
</t>
        </r>
      </text>
    </comment>
    <comment ref="P37" authorId="0" shapeId="0">
      <text>
        <r>
          <rPr>
            <sz val="9"/>
            <color indexed="81"/>
            <rFont val="Tahoma"/>
            <family val="2"/>
          </rPr>
          <t xml:space="preserve">DE 1 A 38 = $191,57  X HS
DE 39 A 48 = $38 X HS
</t>
        </r>
      </text>
    </comment>
    <comment ref="P38" authorId="0" shapeId="0">
      <text>
        <r>
          <rPr>
            <sz val="9"/>
            <color indexed="81"/>
            <rFont val="Tahoma"/>
            <family val="2"/>
          </rPr>
          <t xml:space="preserve">DE 1 A 38 = $191,57  X HS
DE 39 A 48 = $38 X HS
</t>
        </r>
      </text>
    </comment>
    <comment ref="P39" authorId="0" shapeId="0">
      <text>
        <r>
          <rPr>
            <sz val="9"/>
            <color indexed="81"/>
            <rFont val="Tahoma"/>
            <family val="2"/>
          </rPr>
          <t xml:space="preserve">DE 1 A 38 = $191,57  X HS
DE 39 A 48 = $38 X HS
</t>
        </r>
      </text>
    </comment>
    <comment ref="P40" authorId="0" shapeId="0">
      <text>
        <r>
          <rPr>
            <sz val="9"/>
            <color indexed="81"/>
            <rFont val="Tahoma"/>
            <family val="2"/>
          </rPr>
          <t xml:space="preserve">
DE 1 A 38 = $191,57  X HS
DE 39 A 48 = $38 X HS
</t>
        </r>
      </text>
    </comment>
    <comment ref="P41" authorId="0" shapeId="0">
      <text>
        <r>
          <rPr>
            <sz val="9"/>
            <color indexed="81"/>
            <rFont val="Tahoma"/>
            <family val="2"/>
          </rPr>
          <t xml:space="preserve">DE 1 A 38 = $191,57  X HS
DE 39 A 48 = $38 X HS
</t>
        </r>
      </text>
    </comment>
    <comment ref="P42" authorId="0" shapeId="0">
      <text>
        <r>
          <rPr>
            <sz val="9"/>
            <color indexed="81"/>
            <rFont val="Tahoma"/>
            <family val="2"/>
          </rPr>
          <t>DE 1 A 38 = $191,57  X HS
DE 39 A 48 = $38 X HS</t>
        </r>
      </text>
    </comment>
  </commentList>
</comments>
</file>

<file path=xl/comments4.xml><?xml version="1.0" encoding="utf-8"?>
<comments xmlns="http://schemas.openxmlformats.org/spreadsheetml/2006/main">
  <authors>
    <author>Jorge</author>
  </authors>
  <commentList>
    <comment ref="P25" authorId="0" shapeId="0">
      <text>
        <r>
          <rPr>
            <sz val="9"/>
            <color indexed="81"/>
            <rFont val="Tahoma"/>
            <family val="2"/>
          </rPr>
          <t>DE 1 A 38 = $191,57  X HS
DE 39 A 48 = $38 X HS</t>
        </r>
      </text>
    </comment>
    <comment ref="P26" authorId="0" shapeId="0">
      <text>
        <r>
          <rPr>
            <sz val="9"/>
            <color indexed="81"/>
            <rFont val="Tahoma"/>
            <family val="2"/>
          </rPr>
          <t>DE 1 A 38 = $191,57  X HS
DE 39 A 48 = $38 X HS</t>
        </r>
      </text>
    </comment>
    <comment ref="P27" authorId="0" shapeId="0">
      <text>
        <r>
          <rPr>
            <sz val="9"/>
            <color indexed="81"/>
            <rFont val="Tahoma"/>
            <family val="2"/>
          </rPr>
          <t>DE 1 A 38 = $191,57  X HS
DE 39 A 48 = $38 X HS</t>
        </r>
      </text>
    </comment>
    <comment ref="P28" authorId="0" shapeId="0">
      <text>
        <r>
          <rPr>
            <sz val="9"/>
            <color indexed="81"/>
            <rFont val="Tahoma"/>
            <family val="2"/>
          </rPr>
          <t xml:space="preserve">DE 1 A 38 = $191,57  X HS
DE 39 A 48 = $38 X HS
</t>
        </r>
      </text>
    </comment>
    <comment ref="P29" authorId="0" shapeId="0">
      <text>
        <r>
          <rPr>
            <sz val="9"/>
            <color indexed="81"/>
            <rFont val="Tahoma"/>
            <family val="2"/>
          </rPr>
          <t>DE 1 A 38 = $191,57  X HS
DE 39 A 48 = $38 X HS</t>
        </r>
      </text>
    </comment>
    <comment ref="P47" authorId="0" shapeId="0">
      <text>
        <r>
          <rPr>
            <sz val="9"/>
            <color indexed="81"/>
            <rFont val="Tahoma"/>
            <family val="2"/>
          </rPr>
          <t xml:space="preserve">DE 1 A 38 = $186,63  X HS
DE 39 A 48 = $37 X HS
</t>
        </r>
      </text>
    </comment>
    <comment ref="P48" authorId="0" shapeId="0">
      <text>
        <r>
          <rPr>
            <sz val="9"/>
            <color indexed="81"/>
            <rFont val="Tahoma"/>
            <family val="2"/>
          </rPr>
          <t xml:space="preserve">DE 1 A 38 = $186,63  X HS
DE 39 A 48 = $37 X HS
</t>
        </r>
      </text>
    </comment>
    <comment ref="P49" authorId="0" shapeId="0">
      <text>
        <r>
          <rPr>
            <sz val="9"/>
            <color indexed="81"/>
            <rFont val="Tahoma"/>
            <family val="2"/>
          </rPr>
          <t xml:space="preserve">DE 1 A 38 = $186,63  X HS
DE 39 A 48 = $37 X HS
</t>
        </r>
      </text>
    </comment>
    <comment ref="P50" authorId="0" shapeId="0">
      <text>
        <r>
          <rPr>
            <sz val="9"/>
            <color indexed="81"/>
            <rFont val="Tahoma"/>
            <family val="2"/>
          </rPr>
          <t xml:space="preserve">DE 1 A 38 = $186,63  X HS
DE 39 A 48 = $37 X HS
</t>
        </r>
      </text>
    </comment>
  </commentList>
</comments>
</file>

<file path=xl/comments5.xml><?xml version="1.0" encoding="utf-8"?>
<comments xmlns="http://schemas.openxmlformats.org/spreadsheetml/2006/main">
  <authors>
    <author>Jorge</author>
  </authors>
  <commentList>
    <comment ref="H17" authorId="0" shapeId="0">
      <text>
        <r>
          <rPr>
            <b/>
            <sz val="9"/>
            <color indexed="81"/>
            <rFont val="Tahoma"/>
            <family val="2"/>
          </rPr>
          <t xml:space="preserve">ANTES 810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</rPr>
          <t xml:space="preserve">ANTES 810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2" authorId="0" shapeId="0">
      <text>
        <r>
          <rPr>
            <b/>
            <sz val="9"/>
            <color indexed="81"/>
            <rFont val="Tahoma"/>
            <family val="2"/>
          </rPr>
          <t>ANTES 810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3" authorId="0" shapeId="0">
      <text>
        <r>
          <rPr>
            <sz val="9"/>
            <color indexed="81"/>
            <rFont val="Tahoma"/>
            <family val="2"/>
          </rPr>
          <t>DE 1 A 38 = $191,57  X HS
DE 39 A 48 = $38 X HS</t>
        </r>
      </text>
    </comment>
    <comment ref="P24" authorId="0" shapeId="0">
      <text>
        <r>
          <rPr>
            <sz val="9"/>
            <color indexed="81"/>
            <rFont val="Tahoma"/>
            <family val="2"/>
          </rPr>
          <t xml:space="preserve">DE 1 A 38 = $191,57  X HS
DE 39 A 48 = $38 X HS
</t>
        </r>
      </text>
    </comment>
  </commentList>
</comments>
</file>

<file path=xl/comments6.xml><?xml version="1.0" encoding="utf-8"?>
<comments xmlns="http://schemas.openxmlformats.org/spreadsheetml/2006/main">
  <authors>
    <author>Jorge</author>
  </authors>
  <commentList>
    <comment ref="C9" authorId="0" shapeId="0">
      <text>
        <r>
          <rPr>
            <b/>
            <sz val="12"/>
            <color indexed="81"/>
            <rFont val="Helvetica"/>
          </rPr>
          <t>para los 1120 o más puntos y proprcional para puntaje menor</t>
        </r>
      </text>
    </comment>
    <comment ref="D9" authorId="0" shapeId="0">
      <text>
        <r>
          <rPr>
            <b/>
            <sz val="12"/>
            <color indexed="81"/>
            <rFont val="Helvetica"/>
          </rPr>
          <t>para los 2043 o más puntos y proprcional para puntaje menor</t>
        </r>
      </text>
    </comment>
  </commentList>
</comments>
</file>

<file path=xl/sharedStrings.xml><?xml version="1.0" encoding="utf-8"?>
<sst xmlns="http://schemas.openxmlformats.org/spreadsheetml/2006/main" count="755" uniqueCount="201">
  <si>
    <t>Denominación del cargo</t>
  </si>
  <si>
    <t>Códigos</t>
  </si>
  <si>
    <t>Director de Jardín de Infantes Independeniente</t>
  </si>
  <si>
    <t>Vicedirector</t>
  </si>
  <si>
    <t>Maestro Secretario</t>
  </si>
  <si>
    <t>Director</t>
  </si>
  <si>
    <t>Maestro Bibliotecario</t>
  </si>
  <si>
    <t>Maestro de Grado</t>
  </si>
  <si>
    <t xml:space="preserve">Hora cátedra Maestro Especial </t>
  </si>
  <si>
    <t>Hora cátedra Maestro Especial</t>
  </si>
  <si>
    <t>Maestro de Grado o Ciclo</t>
  </si>
  <si>
    <t>Maestro Reeducador Vocal</t>
  </si>
  <si>
    <t>Maestro Reeducador Acústico</t>
  </si>
  <si>
    <t>Maestro Asistente Social</t>
  </si>
  <si>
    <t>Maestro Psicólogo</t>
  </si>
  <si>
    <t>Preceptor</t>
  </si>
  <si>
    <t>Ayudante Clases/Trabajos Prácticos</t>
  </si>
  <si>
    <t>Hora Maestro de Grado o Grupo</t>
  </si>
  <si>
    <t>Hora Maestro Reeducador Vocal</t>
  </si>
  <si>
    <t>Hora Maestro Psicólogo</t>
  </si>
  <si>
    <t>Hora Maestro Actividades Prácticas</t>
  </si>
  <si>
    <t>Maestro Gabinetista Psicotécnico</t>
  </si>
  <si>
    <t>Hora Maestro Asistente Social</t>
  </si>
  <si>
    <t>Rector</t>
  </si>
  <si>
    <t>Director de Estudios</t>
  </si>
  <si>
    <t>Secretario</t>
  </si>
  <si>
    <t>Prosecretario</t>
  </si>
  <si>
    <t>Bibliotecario</t>
  </si>
  <si>
    <t>Jefe de Preceptores</t>
  </si>
  <si>
    <t>Sub-Jefe de Preceptores</t>
  </si>
  <si>
    <t>Ayudante de Clases Prácticas</t>
  </si>
  <si>
    <t>Hora cátedra</t>
  </si>
  <si>
    <t>Regente</t>
  </si>
  <si>
    <t>Jefe de Laboratorio</t>
  </si>
  <si>
    <t>Maestro de Enseñanza Práctica</t>
  </si>
  <si>
    <t>Maestro de Enseñanza Práctica Jefe de Sección</t>
  </si>
  <si>
    <t>Maestro Ayudante de Enseñanza Práctica</t>
  </si>
  <si>
    <t>Ayudante Técnico de Trabajos Prácticos</t>
  </si>
  <si>
    <t>Vicerrector o Director de Estudios</t>
  </si>
  <si>
    <t>Profesor Jefe de Trabajos Prácticos</t>
  </si>
  <si>
    <t>Profesor Asistente de Trabajos Prácticos</t>
  </si>
  <si>
    <t>Pro-secretario</t>
  </si>
  <si>
    <t>Bedel</t>
  </si>
  <si>
    <t>Hora Cátedra</t>
  </si>
  <si>
    <t>Ayudante de Trabajos Prácticos</t>
  </si>
  <si>
    <t>Director Jornada Completa</t>
  </si>
  <si>
    <t xml:space="preserve">Vicedirector Jornada Completa </t>
  </si>
  <si>
    <t>Director Jornada Simple</t>
  </si>
  <si>
    <t>Vicedirector Jornada Simple</t>
  </si>
  <si>
    <t>(*)</t>
  </si>
  <si>
    <t>Hora Maestro Reeducador Acústico</t>
  </si>
  <si>
    <t>Jefe General Enseñanza Práctica</t>
  </si>
  <si>
    <t xml:space="preserve">Maestro Celador </t>
  </si>
  <si>
    <t>Profesor de Enfermería (Instructor 36 horas cátedra)</t>
  </si>
  <si>
    <t>Maestro Jardinera/Sección</t>
  </si>
  <si>
    <t>Maestro de Grado o Grupo Escolar (*)</t>
  </si>
  <si>
    <t>Profesor Tiempo Parcial 3 (18 horas)</t>
  </si>
  <si>
    <t>Profesor Tiempo Parcial 4 (12 horas)</t>
  </si>
  <si>
    <t>Hora Maestro de Materias Especiales (hora cátedra)</t>
  </si>
  <si>
    <t>Retenciones por aportes personales</t>
  </si>
  <si>
    <t>Incluye Maestro Integrador (R.M. Nº 278/92)</t>
  </si>
  <si>
    <t>Obra Social 3%</t>
  </si>
  <si>
    <t>INSSJP - Ley 19032 3%</t>
  </si>
  <si>
    <t>Ley 24.016 Dec. 137/05 2%</t>
  </si>
  <si>
    <t>Caja Compl. 4,5%</t>
  </si>
  <si>
    <t>Psicopedagogo 18 horas</t>
  </si>
  <si>
    <t>Ayudante de Orientación 16 horas</t>
  </si>
  <si>
    <t>Director de Estudios (12 horas mas de proyecto XIII)</t>
  </si>
  <si>
    <t xml:space="preserve">Total Aportes </t>
  </si>
  <si>
    <t>Total Haberes  Remunerat.</t>
  </si>
  <si>
    <t>Maestro de Apoyo</t>
  </si>
  <si>
    <t>Maestro de Grupo Escolar Auxiliar</t>
  </si>
  <si>
    <t xml:space="preserve">Preceptor/Maestro Celador </t>
  </si>
  <si>
    <t>Maestro Terapista Ocupacional</t>
  </si>
  <si>
    <t>Maestro de Actividades Prácticas</t>
  </si>
  <si>
    <t>Ayudante de Depto. de Orientación</t>
  </si>
  <si>
    <t>Psicopedagogo</t>
  </si>
  <si>
    <t>AÑOS</t>
  </si>
  <si>
    <t>Maestro Secretario  EE JC</t>
  </si>
  <si>
    <t>TOTAL DE INDICES</t>
  </si>
  <si>
    <t>Maestro de Apoyo para la integración</t>
  </si>
  <si>
    <t>Interprete de Lengua de Señas</t>
  </si>
  <si>
    <t xml:space="preserve"> UTILIZAR LA GRILLA A MODO DE EJEMPLO</t>
  </si>
  <si>
    <t xml:space="preserve">Ejemplos de liquidación salarial para cargos sin antigüedad en la docencia. Al incluir antigüedades, disminuye o desaparece el monto del C.M.G. </t>
  </si>
  <si>
    <t xml:space="preserve"> Art. 128 Estatuto Docente R/ NB</t>
  </si>
  <si>
    <t>Antigüedad  Docente</t>
  </si>
  <si>
    <t>DECRETO 243/08 RB</t>
  </si>
  <si>
    <t>C.M.G.</t>
  </si>
  <si>
    <t>MDM</t>
  </si>
  <si>
    <t>SUBTOTAL NETO SIN C.M.G.</t>
  </si>
  <si>
    <t xml:space="preserve">FONID / RESOLUC. Nº 02/04 neto </t>
  </si>
  <si>
    <t>Sub Total Neto a cobrar</t>
  </si>
  <si>
    <t>TOTAL NETO A COBRAR</t>
  </si>
  <si>
    <r>
      <t>Para los cargos de Jardín se debe abonar un "</t>
    </r>
    <r>
      <rPr>
        <b/>
        <u/>
        <sz val="12"/>
        <rFont val="Cambria"/>
        <family val="1"/>
      </rPr>
      <t>suplememto no remunerativo y complementario"</t>
    </r>
    <r>
      <rPr>
        <b/>
        <sz val="12"/>
        <rFont val="Cambria"/>
        <family val="1"/>
      </rPr>
      <t xml:space="preserve"> para quienes cobren 50% de las AAFF</t>
    </r>
  </si>
  <si>
    <t>Maestro Bibliotecario (adultos tmb)</t>
  </si>
  <si>
    <t>Hora Maestro Gabinetista (M.Gdo. /20 hs)</t>
  </si>
  <si>
    <t>Hora desdoblamiento educ. fisica</t>
  </si>
  <si>
    <t>Hora nivelación idioma extranjero</t>
  </si>
  <si>
    <t xml:space="preserve">Hora de tutoría </t>
  </si>
  <si>
    <t xml:space="preserve">Hora de Jefatura de departameto </t>
  </si>
  <si>
    <t>Hora Observ. Ayud. Y Residencia</t>
  </si>
  <si>
    <t xml:space="preserve">Antigüedad  Decreto 243/08 </t>
  </si>
  <si>
    <t>INDICE del Sueldo básico Unificado</t>
  </si>
  <si>
    <t>Referencias</t>
  </si>
  <si>
    <t xml:space="preserve">VALOR INDICE </t>
  </si>
  <si>
    <t>JORNADA COMPLETA</t>
  </si>
  <si>
    <t xml:space="preserve">SALARIO MINIMO DOCENTE </t>
  </si>
  <si>
    <t xml:space="preserve">MATERIAL DIDACTICO </t>
  </si>
  <si>
    <t>H. CATEDRA NIVEL SUP.</t>
  </si>
  <si>
    <t xml:space="preserve">FONID / RESOL. 02/04 NETO </t>
  </si>
  <si>
    <t>ADICIONAL HORA de 39 A 48</t>
  </si>
  <si>
    <t>DECRETO Nº 483/05 Y SUS MODIF.</t>
  </si>
  <si>
    <t>SUBVENCIOANDO</t>
  </si>
  <si>
    <t>CAJA COMPL.</t>
  </si>
  <si>
    <t xml:space="preserve">HORA CATEDRA </t>
  </si>
  <si>
    <t>TOPE HORAS CARGOS SUPERIOR</t>
  </si>
  <si>
    <t>TOPE HORAS DOS CARGOS SUPERIOR</t>
  </si>
  <si>
    <t>TOPE HORAS CARGO             J-P-M</t>
  </si>
  <si>
    <t>TOPE HORAS DOS CARGOS    J-P-M-</t>
  </si>
  <si>
    <t>CANTIDAD DE HORAS</t>
  </si>
  <si>
    <t>Asig. Estímulo Educ.  R/ NB (Presentismo)</t>
  </si>
  <si>
    <t>Valor Sueldo Básico Unificado RB</t>
  </si>
  <si>
    <t>Jardín de Infantes Común / Nivel Inicial  - JORNADA COMPLETA</t>
  </si>
  <si>
    <t>Jardín de Infantes Común / Nivel Inicial  - JORNADA SIMPLE</t>
  </si>
  <si>
    <t>INDICE       del      Sueldo básico Unificado</t>
  </si>
  <si>
    <t xml:space="preserve"> Art. 128 Estatuto Docente       R/ NB</t>
  </si>
  <si>
    <t>TABLA DE ANTIGÜEDAD</t>
  </si>
  <si>
    <t>SUBVENCIONADO</t>
  </si>
  <si>
    <t xml:space="preserve">Primaria Común - JORNADA SIMPLE </t>
  </si>
  <si>
    <t>Primaria Común - JORNADA COMPLETA</t>
  </si>
  <si>
    <t>Primaria de Adultos</t>
  </si>
  <si>
    <r>
      <t xml:space="preserve">Enseñanza Especial R.M. 278/92 </t>
    </r>
    <r>
      <rPr>
        <sz val="10"/>
        <color indexed="51"/>
        <rFont val="Helvetica"/>
        <family val="2"/>
      </rPr>
      <t>(Reglamento Enseñanza Especial)</t>
    </r>
  </si>
  <si>
    <t>Nivel Medio Común</t>
  </si>
  <si>
    <t>Nivel Medio Tiempo Completo Proyecto XIII</t>
  </si>
  <si>
    <t>Nivel Medio Técnico</t>
  </si>
  <si>
    <t>Enfermería Nivel Medio</t>
  </si>
  <si>
    <t>Nivel Superior Docente</t>
  </si>
  <si>
    <t>Nivel Superior Técnico - Enfermería</t>
  </si>
  <si>
    <t>Jardín de Infantes Común / Nivel Inicial - JORNADA SIMPLE</t>
  </si>
  <si>
    <t>Jardín de Infantes Común / Nivel Inicial- JORNADA COMPLETA</t>
  </si>
  <si>
    <t>JORNADA               SIMPLE</t>
  </si>
  <si>
    <t>Jubilación 11%</t>
  </si>
  <si>
    <t xml:space="preserve">GARANTIA MINIMA JS </t>
  </si>
  <si>
    <t xml:space="preserve">GARANTIA MINIMA JC </t>
  </si>
  <si>
    <t>APORTE NAC. A MAT. DIDÁCTICO 2017</t>
  </si>
  <si>
    <t>APORTE NAC. A MAT. DIDÁCTICO 2017 de 08/17 a 12/17</t>
  </si>
  <si>
    <t>PLUS DIFERENCIAL POR JERARQUIZACIÓN</t>
  </si>
  <si>
    <t xml:space="preserve">PLUS DIFERENCIAL POR ESTABLECIMIENTO </t>
  </si>
  <si>
    <t xml:space="preserve">INDICES JERARQUIZACION </t>
  </si>
  <si>
    <t>Establecimientos Educativos de Nivel Inicial, Primario y Secundario</t>
  </si>
  <si>
    <t>1 turno y hasta 14 secciones.</t>
  </si>
  <si>
    <t>1 turno y entre 15 y 39 secciones.</t>
  </si>
  <si>
    <t>2 turnos y 40 o más secciones.</t>
  </si>
  <si>
    <t>2 turnos y hasta 29 secciones.</t>
  </si>
  <si>
    <t>2 turnos y entre 30 y 39 secciones</t>
  </si>
  <si>
    <t>3 turnos y 31 o más secciones.</t>
  </si>
  <si>
    <t>3 turnos y hasta 15 secciones.</t>
  </si>
  <si>
    <t>3 turnos y entre 16 y 30 secciones.</t>
  </si>
  <si>
    <t>Escuelas de Educación Especial</t>
  </si>
  <si>
    <t>1 turno</t>
  </si>
  <si>
    <t>2 turnos</t>
  </si>
  <si>
    <t>3 turnos</t>
  </si>
  <si>
    <t>Institutos de Formación Docente Nivel Superior</t>
  </si>
  <si>
    <t>Cargo 3509</t>
  </si>
  <si>
    <t xml:space="preserve">Primaria Adultos </t>
  </si>
  <si>
    <r>
      <t xml:space="preserve">Cargo </t>
    </r>
    <r>
      <rPr>
        <sz val="10"/>
        <rFont val="Cambria"/>
        <family val="1"/>
      </rPr>
      <t>578</t>
    </r>
  </si>
  <si>
    <t xml:space="preserve">TIPOLOGÍA I: </t>
  </si>
  <si>
    <t>TIPOLOGÍA II:</t>
  </si>
  <si>
    <t xml:space="preserve">TIPOLOGÍA III: </t>
  </si>
  <si>
    <t xml:space="preserve">Director de Jardín de Infantes </t>
  </si>
  <si>
    <t xml:space="preserve">Vicedirector  de Jardín de Infantes </t>
  </si>
  <si>
    <t xml:space="preserve">1 turno  </t>
  </si>
  <si>
    <t>ESTABLECIMINETOS EDUCATIVOS DE NIVEL INICIAL, PRIMARIO Y SECUNDARIO</t>
  </si>
  <si>
    <t>ESCUELAS DE EDUCACION ESPECIAL</t>
  </si>
  <si>
    <t>Adelanto Cláusula de Seguimiento 2017</t>
  </si>
  <si>
    <t xml:space="preserve">APORTE NAC. A MAT. DIDÁCTICO 2017 </t>
  </si>
  <si>
    <t>SUMA FIJA REMUNERATIVA NO BONIFICABLE POR ANTIGÜEDAD</t>
  </si>
  <si>
    <t>Índices</t>
  </si>
  <si>
    <t>Cargo Testigo</t>
  </si>
  <si>
    <t>Antigüedad</t>
  </si>
  <si>
    <t>Suma RNB</t>
  </si>
  <si>
    <t>EQUIVALENCIA 20 Horas Cátedra (todos los Niveles)</t>
  </si>
  <si>
    <t>1120 o mayor</t>
  </si>
  <si>
    <t>Maestra Grado JS</t>
  </si>
  <si>
    <t>Hasta 60%</t>
  </si>
  <si>
    <t>70% o mayor</t>
  </si>
  <si>
    <t>Si el puntaje fuera menor a 1.120 puntos, se otorgará un monto proporcional al puntaje del Sueldo Básico Unificado Docente</t>
  </si>
  <si>
    <t>2043 o mayor</t>
  </si>
  <si>
    <t>Maestra Grado JC</t>
  </si>
  <si>
    <t>EQUIVALENCIA 40 Horas Cátedra (todos los Niveles)</t>
  </si>
  <si>
    <t>Si el puntaje fuera menor a 2.043 puntos, se otorgará un monto proporcional al puntaje del Sueldo Básico Unificado Docente.</t>
  </si>
  <si>
    <t>La presente suma no se considerará para el cálculo del Complemento Mínimo Garantizado y será proporcional a los días trabajados por cada docente con un tope máximo mensual por persona equivalente al valor de cargos de Jornada Completa y según la escala de antigüedad establecida en cada caso. En todos los casos se mantienen las equivalencias de 20 horas cátedra para los cargos de Jornada Simple y 40 horas cátedra para los cargos de Jornada Completa</t>
  </si>
  <si>
    <t xml:space="preserve">Adicional Especial Remun no Bonif. </t>
  </si>
  <si>
    <t>ADICIONAL ESPECIAL REM Y NO BONIF.</t>
  </si>
  <si>
    <t xml:space="preserve"> NETO DEL ADICIO-NAL</t>
  </si>
  <si>
    <t>NETO A COBRAR</t>
  </si>
  <si>
    <t>SUMA FIJA NO REMUN.Y NO BONIF. POR UNICA VEZ</t>
  </si>
  <si>
    <t xml:space="preserve">SUMA FIJA NO REM Y NO BONIF </t>
  </si>
  <si>
    <t>Grilla Salarial según Resolución Conjunta Nº 1961 MEFGC-18    desde ENERO 2019</t>
  </si>
  <si>
    <t>Grilla Salarial según Resolución Conjunta Nº 1961 MEFGC-18     desde ENERO 2019</t>
  </si>
  <si>
    <t xml:space="preserve">Grilla Salarial según Resolución Conjunta Nº 1961 MEFGC-18     desde ENERO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</si>
</sst>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\ #,##0.00;[Red]&quot;$&quot;\ \-#,##0.00"/>
    <numFmt numFmtId="44" formatCode="_ &quot;$&quot;\ * #,##0.00_ ;_ &quot;$&quot;\ * \-#,##0.00_ ;_ &quot;$&quot;\ * &quot;-&quot;??_ ;_ @_ "/>
    <numFmt numFmtId="164" formatCode="_ &quot;$&quot;\ * #,##0.000000000_ ;_ &quot;$&quot;\ * \-#,##0.000000000_ ;_ &quot;$&quot;\ * &quot;-&quot;??_ ;_ @_ "/>
    <numFmt numFmtId="165" formatCode="0.000"/>
    <numFmt numFmtId="166" formatCode="_ &quot;$&quot;\ * #,##0.000_ ;_ &quot;$&quot;\ * \-#,##0.000_ ;_ &quot;$&quot;\ * &quot;-&quot;??_ ;_ @_ "/>
    <numFmt numFmtId="167" formatCode="0.0000"/>
    <numFmt numFmtId="168" formatCode="_ &quot;$&quot;\ * #,##0.000000_ ;_ &quot;$&quot;\ * \-#,##0.000000_ ;_ &quot;$&quot;\ * &quot;-&quot;??_ ;_ @_ "/>
  </numFmts>
  <fonts count="47" x14ac:knownFonts="1">
    <font>
      <sz val="10"/>
      <name val="Arial"/>
    </font>
    <font>
      <sz val="10"/>
      <name val="Arial"/>
      <family val="2"/>
    </font>
    <font>
      <sz val="10"/>
      <name val="Helvetica"/>
      <family val="2"/>
    </font>
    <font>
      <sz val="10"/>
      <color indexed="10"/>
      <name val="Helvetica"/>
      <family val="2"/>
    </font>
    <font>
      <sz val="12"/>
      <name val="Helvetica"/>
      <family val="2"/>
    </font>
    <font>
      <sz val="8"/>
      <name val="Arial"/>
      <family val="2"/>
    </font>
    <font>
      <b/>
      <sz val="14"/>
      <name val="Helvetica"/>
      <family val="2"/>
    </font>
    <font>
      <b/>
      <sz val="22"/>
      <name val="Helvetica"/>
      <family val="2"/>
    </font>
    <font>
      <sz val="8"/>
      <name val="Arial"/>
      <family val="2"/>
    </font>
    <font>
      <b/>
      <sz val="28"/>
      <name val="Helvetica"/>
      <family val="2"/>
    </font>
    <font>
      <sz val="16"/>
      <name val="Helvetica"/>
      <family val="2"/>
    </font>
    <font>
      <b/>
      <sz val="12"/>
      <name val="Helvetica"/>
      <family val="2"/>
    </font>
    <font>
      <b/>
      <sz val="16"/>
      <name val="Helvetica"/>
      <family val="2"/>
    </font>
    <font>
      <sz val="12"/>
      <color indexed="56"/>
      <name val="Helvetica"/>
      <family val="2"/>
    </font>
    <font>
      <b/>
      <sz val="20"/>
      <name val="Helvetica"/>
      <family val="2"/>
    </font>
    <font>
      <sz val="12"/>
      <name val="Tahoma"/>
      <family val="2"/>
    </font>
    <font>
      <sz val="12"/>
      <color indexed="8"/>
      <name val="Helvetica"/>
      <family val="2"/>
    </font>
    <font>
      <sz val="12"/>
      <name val="Helvetica"/>
    </font>
    <font>
      <b/>
      <sz val="12"/>
      <name val="Cambria"/>
      <family val="1"/>
    </font>
    <font>
      <b/>
      <u/>
      <sz val="12"/>
      <name val="Cambria"/>
      <family val="1"/>
    </font>
    <font>
      <b/>
      <sz val="12"/>
      <name val="Helvetica"/>
    </font>
    <font>
      <b/>
      <sz val="11"/>
      <name val="Helvetica"/>
    </font>
    <font>
      <b/>
      <sz val="10"/>
      <name val="Helvetica"/>
    </font>
    <font>
      <sz val="48"/>
      <name val="Helvetica"/>
      <family val="2"/>
    </font>
    <font>
      <b/>
      <sz val="11"/>
      <color indexed="9"/>
      <name val="Helvetica"/>
    </font>
    <font>
      <b/>
      <sz val="24"/>
      <name val="Helvetica"/>
    </font>
    <font>
      <b/>
      <sz val="10"/>
      <color indexed="9"/>
      <name val="Helvetica"/>
    </font>
    <font>
      <sz val="10"/>
      <color indexed="51"/>
      <name val="Helvetica"/>
      <family val="2"/>
    </font>
    <font>
      <sz val="11"/>
      <name val="Helvetica"/>
      <family val="2"/>
    </font>
    <font>
      <b/>
      <sz val="16"/>
      <name val="Helvetica"/>
    </font>
    <font>
      <sz val="16"/>
      <name val="Arial"/>
      <family val="2"/>
    </font>
    <font>
      <sz val="9"/>
      <color indexed="81"/>
      <name val="Tahoma"/>
      <family val="2"/>
    </font>
    <font>
      <b/>
      <sz val="12"/>
      <color indexed="81"/>
      <name val="Helvetica"/>
    </font>
    <font>
      <b/>
      <sz val="9"/>
      <color indexed="81"/>
      <name val="Tahoma"/>
      <family val="2"/>
    </font>
    <font>
      <sz val="11"/>
      <name val="Cambria"/>
      <family val="1"/>
    </font>
    <font>
      <b/>
      <sz val="11"/>
      <name val="Cambria"/>
      <family val="1"/>
    </font>
    <font>
      <sz val="10"/>
      <name val="Cambria"/>
      <family val="1"/>
    </font>
    <font>
      <sz val="14"/>
      <name val="Cambria"/>
      <family val="1"/>
    </font>
    <font>
      <sz val="11"/>
      <name val="Arial"/>
      <family val="2"/>
    </font>
    <font>
      <b/>
      <sz val="12"/>
      <name val="Calibri"/>
      <family val="2"/>
    </font>
    <font>
      <b/>
      <sz val="5"/>
      <name val="Calibri"/>
      <family val="2"/>
    </font>
    <font>
      <sz val="12"/>
      <name val="Calibri"/>
      <family val="2"/>
    </font>
    <font>
      <b/>
      <sz val="12"/>
      <name val="Arial"/>
      <family val="2"/>
    </font>
    <font>
      <sz val="12"/>
      <color theme="1"/>
      <name val="Helvetica"/>
      <family val="2"/>
    </font>
    <font>
      <sz val="16"/>
      <color rgb="FFFFC000"/>
      <name val="Helvetica"/>
      <family val="2"/>
    </font>
    <font>
      <sz val="16"/>
      <color rgb="FFFFC000"/>
      <name val="Helvetica"/>
    </font>
    <font>
      <b/>
      <u/>
      <sz val="11"/>
      <color rgb="FF000000"/>
      <name val="Cambria"/>
      <family val="1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ECFF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8" tint="0.59999389629810485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 applyBorder="1"/>
    <xf numFmtId="0" fontId="2" fillId="0" borderId="0" xfId="0" applyFont="1" applyFill="1" applyAlignment="1">
      <alignment horizontal="center" vertical="center"/>
    </xf>
    <xf numFmtId="9" fontId="0" fillId="0" borderId="0" xfId="0" applyNumberFormat="1"/>
    <xf numFmtId="0" fontId="2" fillId="2" borderId="0" xfId="0" applyFont="1" applyFill="1"/>
    <xf numFmtId="44" fontId="2" fillId="0" borderId="0" xfId="0" applyNumberFormat="1" applyFont="1"/>
    <xf numFmtId="2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4" fontId="2" fillId="0" borderId="0" xfId="1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Alignment="1">
      <alignment horizontal="center" wrapText="1"/>
    </xf>
    <xf numFmtId="44" fontId="2" fillId="0" borderId="0" xfId="0" applyNumberFormat="1" applyFont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44" fontId="2" fillId="0" borderId="0" xfId="1" applyFont="1" applyBorder="1" applyAlignment="1">
      <alignment horizontal="center" wrapText="1"/>
    </xf>
    <xf numFmtId="44" fontId="2" fillId="0" borderId="0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4" fontId="3" fillId="0" borderId="0" xfId="1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44" fontId="4" fillId="0" borderId="1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44" fontId="2" fillId="0" borderId="0" xfId="0" applyNumberFormat="1" applyFont="1" applyFill="1" applyAlignment="1">
      <alignment horizontal="center" wrapText="1"/>
    </xf>
    <xf numFmtId="0" fontId="2" fillId="0" borderId="0" xfId="0" applyFont="1" applyFill="1"/>
    <xf numFmtId="0" fontId="4" fillId="9" borderId="4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44" fontId="4" fillId="2" borderId="0" xfId="1" applyFont="1" applyFill="1" applyBorder="1" applyAlignment="1">
      <alignment horizontal="center" vertical="center" wrapText="1"/>
    </xf>
    <xf numFmtId="44" fontId="4" fillId="0" borderId="0" xfId="1" applyFont="1" applyBorder="1" applyAlignment="1">
      <alignment horizontal="center" vertical="center" wrapText="1"/>
    </xf>
    <xf numFmtId="44" fontId="4" fillId="2" borderId="0" xfId="0" applyNumberFormat="1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 wrapText="1"/>
    </xf>
    <xf numFmtId="44" fontId="4" fillId="9" borderId="0" xfId="0" applyNumberFormat="1" applyFont="1" applyFill="1" applyBorder="1" applyAlignment="1">
      <alignment horizontal="center" vertical="center" wrapText="1"/>
    </xf>
    <xf numFmtId="44" fontId="13" fillId="9" borderId="0" xfId="0" applyNumberFormat="1" applyFont="1" applyFill="1" applyBorder="1" applyAlignment="1">
      <alignment horizontal="center" vertical="center" wrapText="1"/>
    </xf>
    <xf numFmtId="8" fontId="4" fillId="9" borderId="0" xfId="0" applyNumberFormat="1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7" fillId="9" borderId="5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wrapText="1"/>
    </xf>
    <xf numFmtId="0" fontId="4" fillId="9" borderId="2" xfId="0" applyFont="1" applyFill="1" applyBorder="1" applyAlignment="1">
      <alignment horizontal="center" wrapText="1"/>
    </xf>
    <xf numFmtId="0" fontId="17" fillId="10" borderId="5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17" fillId="10" borderId="3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4" fillId="10" borderId="0" xfId="0" applyFont="1" applyFill="1" applyBorder="1" applyAlignment="1">
      <alignment horizontal="center" vertical="center" wrapText="1"/>
    </xf>
    <xf numFmtId="44" fontId="4" fillId="9" borderId="0" xfId="1" applyFont="1" applyFill="1" applyBorder="1" applyAlignment="1">
      <alignment horizontal="center" vertical="center" wrapText="1"/>
    </xf>
    <xf numFmtId="166" fontId="4" fillId="9" borderId="0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43" fillId="9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left" vertical="center"/>
    </xf>
    <xf numFmtId="0" fontId="24" fillId="3" borderId="5" xfId="0" applyFont="1" applyFill="1" applyBorder="1" applyAlignment="1">
      <alignment horizontal="center" vertical="center" wrapText="1"/>
    </xf>
    <xf numFmtId="44" fontId="4" fillId="9" borderId="11" xfId="0" applyNumberFormat="1" applyFont="1" applyFill="1" applyBorder="1" applyAlignment="1">
      <alignment horizontal="center" vertical="center" wrapText="1"/>
    </xf>
    <xf numFmtId="44" fontId="4" fillId="9" borderId="1" xfId="0" applyNumberFormat="1" applyFont="1" applyFill="1" applyBorder="1" applyAlignment="1">
      <alignment horizontal="center" vertical="center" wrapText="1"/>
    </xf>
    <xf numFmtId="44" fontId="4" fillId="9" borderId="2" xfId="0" applyNumberFormat="1" applyFont="1" applyFill="1" applyBorder="1" applyAlignment="1">
      <alignment horizontal="center" vertical="center" wrapText="1"/>
    </xf>
    <xf numFmtId="0" fontId="25" fillId="0" borderId="0" xfId="0" applyFont="1"/>
    <xf numFmtId="164" fontId="12" fillId="9" borderId="0" xfId="1" applyNumberFormat="1" applyFont="1" applyFill="1" applyBorder="1" applyAlignment="1">
      <alignment horizontal="center" vertical="center" wrapText="1"/>
    </xf>
    <xf numFmtId="0" fontId="43" fillId="9" borderId="1" xfId="0" applyFont="1" applyFill="1" applyBorder="1" applyAlignment="1">
      <alignment horizontal="center" vertical="center"/>
    </xf>
    <xf numFmtId="0" fontId="43" fillId="9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2" fontId="4" fillId="10" borderId="1" xfId="0" applyNumberFormat="1" applyFont="1" applyFill="1" applyBorder="1" applyAlignment="1">
      <alignment horizontal="center" vertical="center" wrapText="1"/>
    </xf>
    <xf numFmtId="2" fontId="4" fillId="9" borderId="1" xfId="0" applyNumberFormat="1" applyFont="1" applyFill="1" applyBorder="1" applyAlignment="1">
      <alignment horizontal="center" vertical="center" wrapText="1"/>
    </xf>
    <xf numFmtId="44" fontId="4" fillId="0" borderId="1" xfId="1" applyFont="1" applyBorder="1" applyAlignment="1">
      <alignment horizontal="center" vertical="center" wrapText="1"/>
    </xf>
    <xf numFmtId="44" fontId="4" fillId="0" borderId="2" xfId="1" applyFont="1" applyBorder="1" applyAlignment="1">
      <alignment horizontal="center" vertical="center" wrapText="1"/>
    </xf>
    <xf numFmtId="8" fontId="4" fillId="9" borderId="1" xfId="0" applyNumberFormat="1" applyFont="1" applyFill="1" applyBorder="1" applyAlignment="1">
      <alignment horizontal="center" vertical="center" wrapText="1"/>
    </xf>
    <xf numFmtId="8" fontId="4" fillId="9" borderId="2" xfId="0" applyNumberFormat="1" applyFont="1" applyFill="1" applyBorder="1" applyAlignment="1">
      <alignment horizontal="center" vertical="center" wrapText="1"/>
    </xf>
    <xf numFmtId="8" fontId="4" fillId="9" borderId="1" xfId="0" applyNumberFormat="1" applyFont="1" applyFill="1" applyBorder="1" applyAlignment="1">
      <alignment horizontal="right" vertical="center" wrapText="1"/>
    </xf>
    <xf numFmtId="0" fontId="44" fillId="4" borderId="12" xfId="0" applyFont="1" applyFill="1" applyBorder="1" applyAlignment="1"/>
    <xf numFmtId="0" fontId="44" fillId="4" borderId="13" xfId="0" applyFont="1" applyFill="1" applyBorder="1" applyAlignment="1"/>
    <xf numFmtId="0" fontId="4" fillId="9" borderId="0" xfId="0" applyFont="1" applyFill="1" applyBorder="1" applyAlignment="1">
      <alignment vertical="center"/>
    </xf>
    <xf numFmtId="0" fontId="24" fillId="3" borderId="14" xfId="0" applyFont="1" applyFill="1" applyBorder="1" applyAlignment="1">
      <alignment horizontal="center" vertical="center" wrapText="1"/>
    </xf>
    <xf numFmtId="44" fontId="4" fillId="0" borderId="4" xfId="0" applyNumberFormat="1" applyFont="1" applyBorder="1" applyAlignment="1">
      <alignment horizontal="center" vertical="center" wrapText="1"/>
    </xf>
    <xf numFmtId="44" fontId="4" fillId="0" borderId="7" xfId="0" applyNumberFormat="1" applyFont="1" applyBorder="1" applyAlignment="1">
      <alignment horizontal="center" vertical="center" wrapText="1"/>
    </xf>
    <xf numFmtId="0" fontId="4" fillId="9" borderId="1" xfId="0" applyFont="1" applyFill="1" applyBorder="1" applyAlignment="1">
      <alignment vertical="center"/>
    </xf>
    <xf numFmtId="0" fontId="4" fillId="9" borderId="3" xfId="0" applyFont="1" applyFill="1" applyBorder="1" applyAlignment="1">
      <alignment vertical="center"/>
    </xf>
    <xf numFmtId="0" fontId="4" fillId="9" borderId="2" xfId="0" applyFont="1" applyFill="1" applyBorder="1" applyAlignment="1">
      <alignment vertical="center"/>
    </xf>
    <xf numFmtId="44" fontId="4" fillId="0" borderId="5" xfId="1" applyFont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44" fontId="4" fillId="0" borderId="15" xfId="1" applyFont="1" applyBorder="1" applyAlignment="1">
      <alignment horizontal="center" vertical="center" wrapText="1"/>
    </xf>
    <xf numFmtId="44" fontId="4" fillId="9" borderId="15" xfId="0" applyNumberFormat="1" applyFont="1" applyFill="1" applyBorder="1" applyAlignment="1">
      <alignment horizontal="center" vertical="center" wrapText="1"/>
    </xf>
    <xf numFmtId="44" fontId="4" fillId="9" borderId="14" xfId="0" applyNumberFormat="1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left" wrapText="1"/>
    </xf>
    <xf numFmtId="0" fontId="15" fillId="9" borderId="1" xfId="0" applyFont="1" applyFill="1" applyBorder="1" applyAlignment="1">
      <alignment vertical="center"/>
    </xf>
    <xf numFmtId="0" fontId="17" fillId="9" borderId="2" xfId="0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44" fontId="4" fillId="2" borderId="7" xfId="0" applyNumberFormat="1" applyFont="1" applyFill="1" applyBorder="1" applyAlignment="1">
      <alignment horizontal="center" vertical="center" wrapText="1"/>
    </xf>
    <xf numFmtId="44" fontId="4" fillId="0" borderId="15" xfId="0" applyNumberFormat="1" applyFont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/>
    </xf>
    <xf numFmtId="44" fontId="4" fillId="9" borderId="1" xfId="1" applyFont="1" applyFill="1" applyBorder="1" applyAlignment="1">
      <alignment horizontal="center" vertical="center" wrapText="1"/>
    </xf>
    <xf numFmtId="44" fontId="4" fillId="9" borderId="2" xfId="1" applyFont="1" applyFill="1" applyBorder="1" applyAlignment="1">
      <alignment horizontal="center" vertical="center" wrapText="1"/>
    </xf>
    <xf numFmtId="44" fontId="16" fillId="9" borderId="1" xfId="0" applyNumberFormat="1" applyFont="1" applyFill="1" applyBorder="1" applyAlignment="1">
      <alignment horizontal="center" vertical="center" wrapText="1"/>
    </xf>
    <xf numFmtId="44" fontId="16" fillId="9" borderId="2" xfId="0" applyNumberFormat="1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vertical="center" wrapText="1"/>
    </xf>
    <xf numFmtId="0" fontId="4" fillId="9" borderId="15" xfId="0" applyFont="1" applyFill="1" applyBorder="1" applyAlignment="1">
      <alignment vertical="center" wrapText="1"/>
    </xf>
    <xf numFmtId="0" fontId="17" fillId="9" borderId="10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wrapText="1"/>
    </xf>
    <xf numFmtId="0" fontId="4" fillId="9" borderId="0" xfId="0" applyFont="1" applyFill="1" applyBorder="1" applyAlignment="1">
      <alignment horizontal="left" wrapText="1"/>
    </xf>
    <xf numFmtId="0" fontId="4" fillId="9" borderId="0" xfId="0" applyFont="1" applyFill="1" applyBorder="1" applyAlignment="1">
      <alignment horizontal="center" wrapText="1"/>
    </xf>
    <xf numFmtId="44" fontId="4" fillId="2" borderId="0" xfId="0" applyNumberFormat="1" applyFont="1" applyFill="1" applyBorder="1" applyAlignment="1">
      <alignment horizontal="center" wrapText="1"/>
    </xf>
    <xf numFmtId="0" fontId="4" fillId="9" borderId="9" xfId="0" applyFont="1" applyFill="1" applyBorder="1" applyAlignment="1">
      <alignment horizontal="center" vertical="center"/>
    </xf>
    <xf numFmtId="44" fontId="4" fillId="9" borderId="0" xfId="1" applyFont="1" applyFill="1" applyBorder="1" applyAlignment="1">
      <alignment horizontal="center" wrapText="1"/>
    </xf>
    <xf numFmtId="8" fontId="4" fillId="9" borderId="0" xfId="0" applyNumberFormat="1" applyFont="1" applyFill="1" applyBorder="1" applyAlignment="1">
      <alignment horizontal="right" vertical="center" wrapText="1"/>
    </xf>
    <xf numFmtId="44" fontId="4" fillId="9" borderId="17" xfId="0" applyNumberFormat="1" applyFont="1" applyFill="1" applyBorder="1" applyAlignment="1">
      <alignment horizontal="center" vertical="center" wrapText="1"/>
    </xf>
    <xf numFmtId="44" fontId="4" fillId="9" borderId="18" xfId="0" applyNumberFormat="1" applyFont="1" applyFill="1" applyBorder="1" applyAlignment="1">
      <alignment horizontal="center" vertical="center" wrapText="1"/>
    </xf>
    <xf numFmtId="0" fontId="44" fillId="4" borderId="0" xfId="0" applyFont="1" applyFill="1" applyBorder="1" applyAlignment="1"/>
    <xf numFmtId="0" fontId="44" fillId="4" borderId="19" xfId="0" applyFont="1" applyFill="1" applyBorder="1" applyAlignment="1"/>
    <xf numFmtId="0" fontId="44" fillId="4" borderId="20" xfId="0" applyFont="1" applyFill="1" applyBorder="1" applyAlignment="1"/>
    <xf numFmtId="0" fontId="44" fillId="4" borderId="21" xfId="0" applyFont="1" applyFill="1" applyBorder="1" applyAlignment="1">
      <alignment wrapText="1"/>
    </xf>
    <xf numFmtId="164" fontId="12" fillId="9" borderId="22" xfId="1" applyNumberFormat="1" applyFont="1" applyFill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5" fillId="0" borderId="23" xfId="0" applyFont="1" applyBorder="1"/>
    <xf numFmtId="0" fontId="29" fillId="0" borderId="22" xfId="0" applyFont="1" applyBorder="1"/>
    <xf numFmtId="0" fontId="44" fillId="11" borderId="12" xfId="0" applyFont="1" applyFill="1" applyBorder="1" applyAlignment="1"/>
    <xf numFmtId="0" fontId="2" fillId="11" borderId="0" xfId="0" applyFont="1" applyFill="1"/>
    <xf numFmtId="0" fontId="44" fillId="11" borderId="13" xfId="0" applyFont="1" applyFill="1" applyBorder="1" applyAlignment="1"/>
    <xf numFmtId="0" fontId="44" fillId="11" borderId="24" xfId="0" applyFont="1" applyFill="1" applyBorder="1" applyAlignment="1"/>
    <xf numFmtId="0" fontId="24" fillId="3" borderId="21" xfId="0" applyFont="1" applyFill="1" applyBorder="1" applyAlignment="1">
      <alignment horizontal="center" vertical="center" wrapText="1"/>
    </xf>
    <xf numFmtId="44" fontId="4" fillId="0" borderId="25" xfId="0" applyNumberFormat="1" applyFont="1" applyBorder="1" applyAlignment="1">
      <alignment horizontal="center" vertical="center" wrapText="1"/>
    </xf>
    <xf numFmtId="44" fontId="4" fillId="9" borderId="26" xfId="0" applyNumberFormat="1" applyFont="1" applyFill="1" applyBorder="1" applyAlignment="1">
      <alignment horizontal="center" vertical="center" wrapText="1"/>
    </xf>
    <xf numFmtId="44" fontId="4" fillId="9" borderId="4" xfId="0" applyNumberFormat="1" applyFont="1" applyFill="1" applyBorder="1" applyAlignment="1">
      <alignment horizontal="center" vertical="center" wrapText="1"/>
    </xf>
    <xf numFmtId="44" fontId="4" fillId="9" borderId="6" xfId="0" applyNumberFormat="1" applyFont="1" applyFill="1" applyBorder="1" applyAlignment="1">
      <alignment horizontal="center" vertical="center" wrapText="1"/>
    </xf>
    <xf numFmtId="44" fontId="4" fillId="9" borderId="25" xfId="0" applyNumberFormat="1" applyFont="1" applyFill="1" applyBorder="1" applyAlignment="1">
      <alignment horizontal="center" vertical="center" wrapText="1"/>
    </xf>
    <xf numFmtId="44" fontId="4" fillId="9" borderId="7" xfId="0" applyNumberFormat="1" applyFont="1" applyFill="1" applyBorder="1" applyAlignment="1">
      <alignment horizontal="center" vertical="center" wrapText="1"/>
    </xf>
    <xf numFmtId="44" fontId="4" fillId="9" borderId="16" xfId="0" applyNumberFormat="1" applyFont="1" applyFill="1" applyBorder="1" applyAlignment="1">
      <alignment horizontal="center" vertical="center" wrapText="1"/>
    </xf>
    <xf numFmtId="44" fontId="4" fillId="0" borderId="3" xfId="0" applyNumberFormat="1" applyFont="1" applyBorder="1" applyAlignment="1">
      <alignment horizontal="center" vertical="center" wrapText="1"/>
    </xf>
    <xf numFmtId="44" fontId="4" fillId="9" borderId="27" xfId="0" applyNumberFormat="1" applyFont="1" applyFill="1" applyBorder="1" applyAlignment="1">
      <alignment horizontal="center" vertical="center" wrapText="1"/>
    </xf>
    <xf numFmtId="44" fontId="4" fillId="9" borderId="3" xfId="0" applyNumberFormat="1" applyFont="1" applyFill="1" applyBorder="1" applyAlignment="1">
      <alignment horizontal="center" vertical="center" wrapText="1"/>
    </xf>
    <xf numFmtId="44" fontId="4" fillId="0" borderId="17" xfId="1" applyFont="1" applyBorder="1" applyAlignment="1">
      <alignment horizontal="center" vertical="center" wrapText="1"/>
    </xf>
    <xf numFmtId="44" fontId="4" fillId="0" borderId="16" xfId="0" applyNumberFormat="1" applyFont="1" applyBorder="1" applyAlignment="1">
      <alignment horizontal="center" vertical="center" wrapText="1"/>
    </xf>
    <xf numFmtId="44" fontId="4" fillId="9" borderId="28" xfId="0" applyNumberFormat="1" applyFont="1" applyFill="1" applyBorder="1" applyAlignment="1">
      <alignment horizontal="center" vertical="center" wrapText="1"/>
    </xf>
    <xf numFmtId="44" fontId="4" fillId="9" borderId="29" xfId="0" applyNumberFormat="1" applyFont="1" applyFill="1" applyBorder="1" applyAlignment="1">
      <alignment horizontal="center" vertical="center" wrapText="1"/>
    </xf>
    <xf numFmtId="44" fontId="4" fillId="0" borderId="17" xfId="0" applyNumberFormat="1" applyFont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/>
    </xf>
    <xf numFmtId="0" fontId="4" fillId="9" borderId="15" xfId="0" applyFont="1" applyFill="1" applyBorder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4" fillId="10" borderId="15" xfId="0" applyFont="1" applyFill="1" applyBorder="1" applyAlignment="1">
      <alignment horizontal="center" vertical="center" wrapText="1"/>
    </xf>
    <xf numFmtId="0" fontId="30" fillId="0" borderId="0" xfId="0" applyFont="1"/>
    <xf numFmtId="0" fontId="28" fillId="9" borderId="16" xfId="0" applyFont="1" applyFill="1" applyBorder="1" applyAlignment="1">
      <alignment horizontal="left" wrapText="1"/>
    </xf>
    <xf numFmtId="0" fontId="28" fillId="9" borderId="29" xfId="0" applyFont="1" applyFill="1" applyBorder="1" applyAlignment="1">
      <alignment horizontal="left" wrapText="1"/>
    </xf>
    <xf numFmtId="8" fontId="4" fillId="9" borderId="4" xfId="0" applyNumberFormat="1" applyFont="1" applyFill="1" applyBorder="1" applyAlignment="1">
      <alignment horizontal="center" vertical="center" wrapText="1"/>
    </xf>
    <xf numFmtId="8" fontId="4" fillId="9" borderId="7" xfId="0" applyNumberFormat="1" applyFont="1" applyFill="1" applyBorder="1" applyAlignment="1">
      <alignment horizontal="center" vertical="center" wrapText="1"/>
    </xf>
    <xf numFmtId="8" fontId="4" fillId="9" borderId="4" xfId="0" applyNumberFormat="1" applyFont="1" applyFill="1" applyBorder="1" applyAlignment="1">
      <alignment horizontal="right" vertical="center" wrapText="1"/>
    </xf>
    <xf numFmtId="44" fontId="4" fillId="9" borderId="20" xfId="0" applyNumberFormat="1" applyFont="1" applyFill="1" applyBorder="1" applyAlignment="1">
      <alignment horizontal="center" vertical="center" wrapText="1"/>
    </xf>
    <xf numFmtId="8" fontId="4" fillId="9" borderId="7" xfId="0" applyNumberFormat="1" applyFont="1" applyFill="1" applyBorder="1" applyAlignment="1">
      <alignment horizontal="right" vertical="center" wrapText="1"/>
    </xf>
    <xf numFmtId="2" fontId="10" fillId="12" borderId="22" xfId="0" applyNumberFormat="1" applyFont="1" applyFill="1" applyBorder="1" applyAlignment="1">
      <alignment horizontal="center" vertical="center" wrapText="1"/>
    </xf>
    <xf numFmtId="165" fontId="10" fillId="12" borderId="22" xfId="0" applyNumberFormat="1" applyFont="1" applyFill="1" applyBorder="1" applyAlignment="1">
      <alignment horizontal="center" vertical="center" wrapText="1"/>
    </xf>
    <xf numFmtId="167" fontId="10" fillId="12" borderId="22" xfId="0" applyNumberFormat="1" applyFont="1" applyFill="1" applyBorder="1" applyAlignment="1">
      <alignment horizontal="center" vertical="center" wrapText="1"/>
    </xf>
    <xf numFmtId="165" fontId="10" fillId="12" borderId="22" xfId="1" applyNumberFormat="1" applyFont="1" applyFill="1" applyBorder="1" applyAlignment="1">
      <alignment horizontal="center" vertical="center" wrapText="1"/>
    </xf>
    <xf numFmtId="0" fontId="4" fillId="9" borderId="25" xfId="0" applyFont="1" applyFill="1" applyBorder="1" applyAlignment="1">
      <alignment horizontal="center" vertical="center" wrapText="1"/>
    </xf>
    <xf numFmtId="0" fontId="4" fillId="9" borderId="28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4" fillId="9" borderId="29" xfId="0" applyFont="1" applyFill="1" applyBorder="1" applyAlignment="1">
      <alignment horizontal="center" vertical="center" wrapText="1"/>
    </xf>
    <xf numFmtId="44" fontId="4" fillId="0" borderId="8" xfId="0" applyNumberFormat="1" applyFont="1" applyBorder="1" applyAlignment="1">
      <alignment horizontal="center" vertical="center" wrapText="1"/>
    </xf>
    <xf numFmtId="44" fontId="4" fillId="0" borderId="30" xfId="0" applyNumberFormat="1" applyFont="1" applyBorder="1" applyAlignment="1">
      <alignment horizontal="center" vertical="center" wrapText="1"/>
    </xf>
    <xf numFmtId="0" fontId="2" fillId="9" borderId="1" xfId="0" applyFont="1" applyFill="1" applyBorder="1" applyAlignment="1">
      <alignment vertical="center" wrapText="1"/>
    </xf>
    <xf numFmtId="0" fontId="28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9" borderId="3" xfId="0" applyFont="1" applyFill="1" applyBorder="1" applyAlignment="1">
      <alignment horizontal="center" vertical="center"/>
    </xf>
    <xf numFmtId="8" fontId="4" fillId="9" borderId="5" xfId="0" applyNumberFormat="1" applyFont="1" applyFill="1" applyBorder="1" applyAlignment="1">
      <alignment horizontal="center" vertical="center" wrapText="1"/>
    </xf>
    <xf numFmtId="44" fontId="4" fillId="0" borderId="4" xfId="1" applyFont="1" applyBorder="1" applyAlignment="1">
      <alignment horizontal="center" vertical="center" wrapText="1"/>
    </xf>
    <xf numFmtId="44" fontId="4" fillId="0" borderId="7" xfId="1" applyFont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 wrapText="1"/>
    </xf>
    <xf numFmtId="0" fontId="34" fillId="0" borderId="14" xfId="0" applyFont="1" applyBorder="1" applyAlignment="1">
      <alignment horizontal="justify" vertical="center" wrapText="1"/>
    </xf>
    <xf numFmtId="0" fontId="35" fillId="0" borderId="6" xfId="0" applyFont="1" applyBorder="1" applyAlignment="1">
      <alignment horizontal="justify" vertical="center" wrapText="1"/>
    </xf>
    <xf numFmtId="0" fontId="34" fillId="0" borderId="20" xfId="0" applyFont="1" applyBorder="1" applyAlignment="1">
      <alignment horizontal="center" vertical="center" wrapText="1"/>
    </xf>
    <xf numFmtId="9" fontId="35" fillId="0" borderId="31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37" fillId="0" borderId="6" xfId="0" applyFont="1" applyBorder="1" applyAlignment="1">
      <alignment horizontal="center" vertical="center" wrapText="1"/>
    </xf>
    <xf numFmtId="44" fontId="4" fillId="9" borderId="5" xfId="0" applyNumberFormat="1" applyFont="1" applyFill="1" applyBorder="1" applyAlignment="1">
      <alignment horizontal="center" vertical="center" wrapText="1"/>
    </xf>
    <xf numFmtId="44" fontId="4" fillId="0" borderId="18" xfId="1" applyFont="1" applyBorder="1" applyAlignment="1">
      <alignment horizontal="center" vertical="center" wrapText="1"/>
    </xf>
    <xf numFmtId="44" fontId="4" fillId="0" borderId="6" xfId="0" applyNumberFormat="1" applyFont="1" applyBorder="1" applyAlignment="1">
      <alignment horizontal="center" vertical="center" wrapText="1"/>
    </xf>
    <xf numFmtId="0" fontId="43" fillId="9" borderId="15" xfId="0" applyFont="1" applyFill="1" applyBorder="1" applyAlignment="1">
      <alignment horizontal="center" vertical="center"/>
    </xf>
    <xf numFmtId="44" fontId="4" fillId="0" borderId="25" xfId="1" applyFont="1" applyBorder="1" applyAlignment="1">
      <alignment horizontal="center" vertical="center" wrapText="1"/>
    </xf>
    <xf numFmtId="44" fontId="4" fillId="9" borderId="10" xfId="0" applyNumberFormat="1" applyFont="1" applyFill="1" applyBorder="1" applyAlignment="1">
      <alignment horizontal="center" vertical="center" wrapText="1"/>
    </xf>
    <xf numFmtId="44" fontId="4" fillId="0" borderId="10" xfId="0" applyNumberFormat="1" applyFont="1" applyBorder="1" applyAlignment="1">
      <alignment horizontal="center" vertical="center" wrapText="1"/>
    </xf>
    <xf numFmtId="44" fontId="4" fillId="0" borderId="26" xfId="1" applyFont="1" applyBorder="1" applyAlignment="1">
      <alignment horizontal="center" vertical="center" wrapText="1"/>
    </xf>
    <xf numFmtId="8" fontId="4" fillId="9" borderId="25" xfId="0" applyNumberFormat="1" applyFont="1" applyFill="1" applyBorder="1" applyAlignment="1">
      <alignment horizontal="center" vertical="center" wrapText="1"/>
    </xf>
    <xf numFmtId="44" fontId="4" fillId="9" borderId="32" xfId="0" applyNumberFormat="1" applyFont="1" applyFill="1" applyBorder="1" applyAlignment="1">
      <alignment horizontal="center" vertical="center" wrapText="1"/>
    </xf>
    <xf numFmtId="44" fontId="4" fillId="0" borderId="18" xfId="0" applyNumberFormat="1" applyFont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left" vertical="center"/>
    </xf>
    <xf numFmtId="0" fontId="4" fillId="9" borderId="26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4" fillId="10" borderId="25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44" fontId="4" fillId="0" borderId="29" xfId="0" applyNumberFormat="1" applyFont="1" applyBorder="1" applyAlignment="1">
      <alignment horizontal="center" vertical="center" wrapText="1"/>
    </xf>
    <xf numFmtId="44" fontId="4" fillId="0" borderId="26" xfId="0" applyNumberFormat="1" applyFont="1" applyBorder="1" applyAlignment="1">
      <alignment horizontal="center" vertical="center" wrapText="1"/>
    </xf>
    <xf numFmtId="8" fontId="4" fillId="9" borderId="15" xfId="0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10" borderId="10" xfId="0" applyFont="1" applyFill="1" applyBorder="1" applyAlignment="1">
      <alignment horizontal="center" vertical="center" wrapText="1"/>
    </xf>
    <xf numFmtId="44" fontId="4" fillId="0" borderId="10" xfId="1" applyFont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25" xfId="0" applyFont="1" applyFill="1" applyBorder="1" applyAlignment="1">
      <alignment horizontal="center" vertical="center"/>
    </xf>
    <xf numFmtId="0" fontId="4" fillId="9" borderId="33" xfId="0" applyFont="1" applyFill="1" applyBorder="1" applyAlignment="1">
      <alignment horizontal="center" vertical="center" wrapText="1"/>
    </xf>
    <xf numFmtId="44" fontId="4" fillId="0" borderId="32" xfId="0" applyNumberFormat="1" applyFont="1" applyBorder="1" applyAlignment="1">
      <alignment horizontal="center" vertical="center" wrapText="1"/>
    </xf>
    <xf numFmtId="0" fontId="4" fillId="9" borderId="9" xfId="0" applyFont="1" applyFill="1" applyBorder="1" applyAlignment="1">
      <alignment vertical="center" wrapText="1"/>
    </xf>
    <xf numFmtId="44" fontId="4" fillId="0" borderId="3" xfId="1" applyFont="1" applyBorder="1" applyAlignment="1">
      <alignment horizontal="center" vertical="center" wrapText="1"/>
    </xf>
    <xf numFmtId="0" fontId="4" fillId="9" borderId="34" xfId="0" applyFont="1" applyFill="1" applyBorder="1" applyAlignment="1">
      <alignment horizontal="center" vertical="center" wrapText="1"/>
    </xf>
    <xf numFmtId="0" fontId="17" fillId="10" borderId="34" xfId="0" applyFont="1" applyFill="1" applyBorder="1" applyAlignment="1">
      <alignment horizontal="center" vertical="center" wrapText="1"/>
    </xf>
    <xf numFmtId="44" fontId="4" fillId="9" borderId="33" xfId="0" applyNumberFormat="1" applyFont="1" applyFill="1" applyBorder="1" applyAlignment="1">
      <alignment horizontal="center" vertical="center" wrapText="1"/>
    </xf>
    <xf numFmtId="44" fontId="4" fillId="9" borderId="9" xfId="0" applyNumberFormat="1" applyFont="1" applyFill="1" applyBorder="1" applyAlignment="1">
      <alignment horizontal="center" vertical="center" wrapText="1"/>
    </xf>
    <xf numFmtId="0" fontId="4" fillId="9" borderId="26" xfId="0" applyFont="1" applyFill="1" applyBorder="1" applyAlignment="1">
      <alignment vertical="center" wrapText="1"/>
    </xf>
    <xf numFmtId="0" fontId="4" fillId="9" borderId="17" xfId="0" applyFont="1" applyFill="1" applyBorder="1" applyAlignment="1">
      <alignment vertical="center" wrapText="1"/>
    </xf>
    <xf numFmtId="0" fontId="2" fillId="9" borderId="17" xfId="0" applyFont="1" applyFill="1" applyBorder="1" applyAlignment="1">
      <alignment vertical="center" wrapText="1"/>
    </xf>
    <xf numFmtId="0" fontId="4" fillId="9" borderId="18" xfId="0" applyFont="1" applyFill="1" applyBorder="1" applyAlignment="1">
      <alignment vertical="center" wrapText="1"/>
    </xf>
    <xf numFmtId="0" fontId="4" fillId="9" borderId="35" xfId="0" applyFont="1" applyFill="1" applyBorder="1" applyAlignment="1">
      <alignment horizontal="center" vertical="center" wrapText="1"/>
    </xf>
    <xf numFmtId="0" fontId="17" fillId="9" borderId="36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vertical="center"/>
    </xf>
    <xf numFmtId="44" fontId="4" fillId="0" borderId="12" xfId="1" applyFont="1" applyBorder="1" applyAlignment="1">
      <alignment horizontal="center" vertical="center" wrapText="1"/>
    </xf>
    <xf numFmtId="44" fontId="4" fillId="2" borderId="12" xfId="0" applyNumberFormat="1" applyFont="1" applyFill="1" applyBorder="1" applyAlignment="1">
      <alignment horizontal="center" vertical="center" wrapText="1"/>
    </xf>
    <xf numFmtId="44" fontId="4" fillId="0" borderId="12" xfId="0" applyNumberFormat="1" applyFont="1" applyBorder="1" applyAlignment="1">
      <alignment horizontal="center" vertical="center" wrapText="1"/>
    </xf>
    <xf numFmtId="44" fontId="4" fillId="9" borderId="24" xfId="0" applyNumberFormat="1" applyFont="1" applyFill="1" applyBorder="1" applyAlignment="1">
      <alignment horizontal="center" vertical="center" wrapText="1"/>
    </xf>
    <xf numFmtId="44" fontId="4" fillId="0" borderId="10" xfId="0" applyNumberFormat="1" applyFont="1" applyFill="1" applyBorder="1" applyAlignment="1">
      <alignment horizontal="center" vertical="center" wrapText="1"/>
    </xf>
    <xf numFmtId="44" fontId="4" fillId="9" borderId="12" xfId="0" applyNumberFormat="1" applyFont="1" applyFill="1" applyBorder="1" applyAlignment="1">
      <alignment horizontal="center" vertical="center" wrapText="1"/>
    </xf>
    <xf numFmtId="0" fontId="17" fillId="10" borderId="15" xfId="0" applyFont="1" applyFill="1" applyBorder="1" applyAlignment="1">
      <alignment horizontal="center" vertical="center" wrapText="1"/>
    </xf>
    <xf numFmtId="0" fontId="17" fillId="9" borderId="15" xfId="0" applyFont="1" applyFill="1" applyBorder="1" applyAlignment="1">
      <alignment horizontal="center" vertical="center" wrapText="1"/>
    </xf>
    <xf numFmtId="0" fontId="4" fillId="9" borderId="37" xfId="0" applyFont="1" applyFill="1" applyBorder="1" applyAlignment="1">
      <alignment horizontal="center" vertical="center" wrapText="1"/>
    </xf>
    <xf numFmtId="0" fontId="4" fillId="9" borderId="38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vertical="center"/>
    </xf>
    <xf numFmtId="0" fontId="16" fillId="0" borderId="15" xfId="0" applyFont="1" applyBorder="1" applyAlignment="1">
      <alignment horizontal="center" vertical="center" wrapText="1"/>
    </xf>
    <xf numFmtId="44" fontId="4" fillId="9" borderId="15" xfId="1" applyFont="1" applyFill="1" applyBorder="1" applyAlignment="1">
      <alignment horizontal="center" vertical="center" wrapText="1"/>
    </xf>
    <xf numFmtId="44" fontId="16" fillId="9" borderId="15" xfId="0" applyNumberFormat="1" applyFont="1" applyFill="1" applyBorder="1" applyAlignment="1">
      <alignment horizontal="center" vertical="center" wrapText="1"/>
    </xf>
    <xf numFmtId="0" fontId="4" fillId="9" borderId="26" xfId="0" applyFont="1" applyFill="1" applyBorder="1" applyAlignment="1">
      <alignment horizontal="left" vertical="center"/>
    </xf>
    <xf numFmtId="0" fontId="4" fillId="9" borderId="17" xfId="0" applyFont="1" applyFill="1" applyBorder="1" applyAlignment="1">
      <alignment vertical="center"/>
    </xf>
    <xf numFmtId="0" fontId="4" fillId="9" borderId="18" xfId="0" applyFont="1" applyFill="1" applyBorder="1" applyAlignment="1">
      <alignment vertical="center"/>
    </xf>
    <xf numFmtId="44" fontId="16" fillId="9" borderId="26" xfId="0" applyNumberFormat="1" applyFont="1" applyFill="1" applyBorder="1" applyAlignment="1">
      <alignment horizontal="center" vertical="center" wrapText="1"/>
    </xf>
    <xf numFmtId="44" fontId="16" fillId="9" borderId="17" xfId="0" applyNumberFormat="1" applyFont="1" applyFill="1" applyBorder="1" applyAlignment="1">
      <alignment horizontal="center" vertical="center" wrapText="1"/>
    </xf>
    <xf numFmtId="44" fontId="16" fillId="9" borderId="18" xfId="0" applyNumberFormat="1" applyFont="1" applyFill="1" applyBorder="1" applyAlignment="1">
      <alignment horizontal="center" vertical="center" wrapText="1"/>
    </xf>
    <xf numFmtId="0" fontId="37" fillId="0" borderId="31" xfId="0" applyFont="1" applyBorder="1" applyAlignment="1">
      <alignment horizontal="center" vertical="center" wrapText="1"/>
    </xf>
    <xf numFmtId="0" fontId="37" fillId="0" borderId="20" xfId="0" applyFont="1" applyBorder="1" applyAlignment="1">
      <alignment horizontal="center" vertical="center" wrapText="1"/>
    </xf>
    <xf numFmtId="0" fontId="37" fillId="0" borderId="20" xfId="0" applyFont="1" applyBorder="1" applyAlignment="1">
      <alignment horizontal="justify" vertical="justify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4" fontId="2" fillId="9" borderId="0" xfId="1" applyFont="1" applyFill="1" applyAlignment="1">
      <alignment horizontal="center" wrapText="1"/>
    </xf>
    <xf numFmtId="0" fontId="10" fillId="12" borderId="22" xfId="0" applyFont="1" applyFill="1" applyBorder="1" applyAlignment="1">
      <alignment horizontal="center" vertical="center" wrapText="1"/>
    </xf>
    <xf numFmtId="44" fontId="2" fillId="12" borderId="0" xfId="1" applyFont="1" applyFill="1" applyAlignment="1">
      <alignment horizontal="center" wrapText="1"/>
    </xf>
    <xf numFmtId="8" fontId="4" fillId="9" borderId="39" xfId="0" applyNumberFormat="1" applyFont="1" applyFill="1" applyBorder="1" applyAlignment="1">
      <alignment horizontal="center" vertical="center" wrapText="1"/>
    </xf>
    <xf numFmtId="8" fontId="4" fillId="9" borderId="18" xfId="0" applyNumberFormat="1" applyFont="1" applyFill="1" applyBorder="1" applyAlignment="1">
      <alignment horizontal="center" vertical="center" wrapText="1"/>
    </xf>
    <xf numFmtId="8" fontId="4" fillId="9" borderId="26" xfId="0" applyNumberFormat="1" applyFont="1" applyFill="1" applyBorder="1" applyAlignment="1">
      <alignment horizontal="center" vertical="center" wrapText="1"/>
    </xf>
    <xf numFmtId="8" fontId="4" fillId="9" borderId="17" xfId="0" applyNumberFormat="1" applyFont="1" applyFill="1" applyBorder="1" applyAlignment="1">
      <alignment horizontal="center" vertical="center" wrapText="1"/>
    </xf>
    <xf numFmtId="8" fontId="4" fillId="9" borderId="31" xfId="0" applyNumberFormat="1" applyFont="1" applyFill="1" applyBorder="1" applyAlignment="1">
      <alignment horizontal="center" vertical="center" wrapText="1"/>
    </xf>
    <xf numFmtId="0" fontId="43" fillId="13" borderId="11" xfId="0" applyFont="1" applyFill="1" applyBorder="1" applyAlignment="1">
      <alignment horizontal="center" vertical="center"/>
    </xf>
    <xf numFmtId="0" fontId="4" fillId="13" borderId="11" xfId="0" applyFont="1" applyFill="1" applyBorder="1" applyAlignment="1">
      <alignment vertical="center"/>
    </xf>
    <xf numFmtId="0" fontId="4" fillId="13" borderId="11" xfId="0" applyFont="1" applyFill="1" applyBorder="1" applyAlignment="1">
      <alignment horizontal="center" vertical="center" wrapText="1"/>
    </xf>
    <xf numFmtId="0" fontId="4" fillId="14" borderId="11" xfId="0" applyFont="1" applyFill="1" applyBorder="1" applyAlignment="1">
      <alignment horizontal="center" vertical="center" wrapText="1"/>
    </xf>
    <xf numFmtId="44" fontId="4" fillId="13" borderId="11" xfId="1" applyFont="1" applyFill="1" applyBorder="1" applyAlignment="1">
      <alignment horizontal="center" vertical="center" wrapText="1"/>
    </xf>
    <xf numFmtId="44" fontId="4" fillId="13" borderId="40" xfId="1" applyFont="1" applyFill="1" applyBorder="1" applyAlignment="1">
      <alignment horizontal="center" vertical="center" wrapText="1"/>
    </xf>
    <xf numFmtId="44" fontId="4" fillId="13" borderId="11" xfId="0" applyNumberFormat="1" applyFont="1" applyFill="1" applyBorder="1" applyAlignment="1">
      <alignment horizontal="center" vertical="center" wrapText="1"/>
    </xf>
    <xf numFmtId="44" fontId="4" fillId="13" borderId="39" xfId="1" applyFont="1" applyFill="1" applyBorder="1" applyAlignment="1">
      <alignment horizontal="center" vertical="center" wrapText="1"/>
    </xf>
    <xf numFmtId="44" fontId="4" fillId="13" borderId="39" xfId="0" applyNumberFormat="1" applyFont="1" applyFill="1" applyBorder="1" applyAlignment="1">
      <alignment horizontal="center" vertical="center" wrapText="1"/>
    </xf>
    <xf numFmtId="44" fontId="4" fillId="13" borderId="40" xfId="0" applyNumberFormat="1" applyFont="1" applyFill="1" applyBorder="1" applyAlignment="1">
      <alignment horizontal="center" vertical="center" wrapText="1"/>
    </xf>
    <xf numFmtId="44" fontId="4" fillId="13" borderId="41" xfId="0" applyNumberFormat="1" applyFont="1" applyFill="1" applyBorder="1" applyAlignment="1">
      <alignment horizontal="center" vertical="center" wrapText="1"/>
    </xf>
    <xf numFmtId="8" fontId="4" fillId="13" borderId="11" xfId="0" applyNumberFormat="1" applyFont="1" applyFill="1" applyBorder="1" applyAlignment="1">
      <alignment horizontal="center" vertical="center" wrapText="1"/>
    </xf>
    <xf numFmtId="0" fontId="43" fillId="13" borderId="6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vertical="center"/>
    </xf>
    <xf numFmtId="0" fontId="4" fillId="13" borderId="6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44" fontId="4" fillId="13" borderId="6" xfId="1" applyFont="1" applyFill="1" applyBorder="1" applyAlignment="1">
      <alignment horizontal="center" vertical="center" wrapText="1"/>
    </xf>
    <xf numFmtId="44" fontId="4" fillId="13" borderId="30" xfId="1" applyFont="1" applyFill="1" applyBorder="1" applyAlignment="1">
      <alignment horizontal="center" vertical="center" wrapText="1"/>
    </xf>
    <xf numFmtId="44" fontId="4" fillId="13" borderId="6" xfId="0" applyNumberFormat="1" applyFont="1" applyFill="1" applyBorder="1" applyAlignment="1">
      <alignment horizontal="center" vertical="center" wrapText="1"/>
    </xf>
    <xf numFmtId="44" fontId="4" fillId="13" borderId="20" xfId="1" applyFont="1" applyFill="1" applyBorder="1" applyAlignment="1">
      <alignment horizontal="center" vertical="center" wrapText="1"/>
    </xf>
    <xf numFmtId="44" fontId="4" fillId="13" borderId="3" xfId="0" applyNumberFormat="1" applyFont="1" applyFill="1" applyBorder="1" applyAlignment="1">
      <alignment horizontal="center" vertical="center" wrapText="1"/>
    </xf>
    <xf numFmtId="44" fontId="4" fillId="13" borderId="27" xfId="0" applyNumberFormat="1" applyFont="1" applyFill="1" applyBorder="1" applyAlignment="1">
      <alignment horizontal="center" vertical="center" wrapText="1"/>
    </xf>
    <xf numFmtId="44" fontId="4" fillId="13" borderId="8" xfId="0" applyNumberFormat="1" applyFont="1" applyFill="1" applyBorder="1" applyAlignment="1">
      <alignment horizontal="center" vertical="center" wrapText="1"/>
    </xf>
    <xf numFmtId="44" fontId="4" fillId="13" borderId="29" xfId="0" applyNumberFormat="1" applyFont="1" applyFill="1" applyBorder="1" applyAlignment="1">
      <alignment horizontal="center" vertical="center" wrapText="1"/>
    </xf>
    <xf numFmtId="8" fontId="4" fillId="13" borderId="6" xfId="0" applyNumberFormat="1" applyFont="1" applyFill="1" applyBorder="1" applyAlignment="1">
      <alignment horizontal="center" vertical="center" wrapText="1"/>
    </xf>
    <xf numFmtId="44" fontId="4" fillId="13" borderId="2" xfId="0" applyNumberFormat="1" applyFont="1" applyFill="1" applyBorder="1" applyAlignment="1">
      <alignment horizontal="center" vertical="center" wrapText="1"/>
    </xf>
    <xf numFmtId="0" fontId="43" fillId="15" borderId="11" xfId="0" applyFont="1" applyFill="1" applyBorder="1" applyAlignment="1">
      <alignment horizontal="center" vertical="center"/>
    </xf>
    <xf numFmtId="0" fontId="4" fillId="15" borderId="11" xfId="0" applyFont="1" applyFill="1" applyBorder="1" applyAlignment="1">
      <alignment vertical="center"/>
    </xf>
    <xf numFmtId="0" fontId="4" fillId="15" borderId="11" xfId="0" applyFont="1" applyFill="1" applyBorder="1" applyAlignment="1">
      <alignment horizontal="center" vertical="center" wrapText="1"/>
    </xf>
    <xf numFmtId="0" fontId="4" fillId="16" borderId="11" xfId="0" applyFont="1" applyFill="1" applyBorder="1" applyAlignment="1">
      <alignment horizontal="center" vertical="center" wrapText="1"/>
    </xf>
    <xf numFmtId="44" fontId="4" fillId="15" borderId="11" xfId="1" applyFont="1" applyFill="1" applyBorder="1" applyAlignment="1">
      <alignment horizontal="center" vertical="center" wrapText="1"/>
    </xf>
    <xf numFmtId="44" fontId="4" fillId="15" borderId="40" xfId="1" applyFont="1" applyFill="1" applyBorder="1" applyAlignment="1">
      <alignment horizontal="center" vertical="center" wrapText="1"/>
    </xf>
    <xf numFmtId="44" fontId="4" fillId="15" borderId="11" xfId="0" applyNumberFormat="1" applyFont="1" applyFill="1" applyBorder="1" applyAlignment="1">
      <alignment horizontal="center" vertical="center" wrapText="1"/>
    </xf>
    <xf numFmtId="44" fontId="4" fillId="15" borderId="39" xfId="1" applyFont="1" applyFill="1" applyBorder="1" applyAlignment="1">
      <alignment horizontal="center" vertical="center" wrapText="1"/>
    </xf>
    <xf numFmtId="44" fontId="4" fillId="15" borderId="40" xfId="0" applyNumberFormat="1" applyFont="1" applyFill="1" applyBorder="1" applyAlignment="1">
      <alignment horizontal="center" vertical="center" wrapText="1"/>
    </xf>
    <xf numFmtId="44" fontId="4" fillId="15" borderId="41" xfId="0" applyNumberFormat="1" applyFont="1" applyFill="1" applyBorder="1" applyAlignment="1">
      <alignment horizontal="center" vertical="center" wrapText="1"/>
    </xf>
    <xf numFmtId="44" fontId="4" fillId="15" borderId="39" xfId="0" applyNumberFormat="1" applyFont="1" applyFill="1" applyBorder="1" applyAlignment="1">
      <alignment horizontal="center" vertical="center" wrapText="1"/>
    </xf>
    <xf numFmtId="8" fontId="4" fillId="15" borderId="11" xfId="0" applyNumberFormat="1" applyFont="1" applyFill="1" applyBorder="1" applyAlignment="1">
      <alignment horizontal="center" vertical="center" wrapText="1"/>
    </xf>
    <xf numFmtId="0" fontId="43" fillId="15" borderId="2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vertical="center"/>
    </xf>
    <xf numFmtId="0" fontId="4" fillId="15" borderId="2" xfId="0" applyFont="1" applyFill="1" applyBorder="1" applyAlignment="1">
      <alignment horizontal="center" vertical="center" wrapText="1"/>
    </xf>
    <xf numFmtId="0" fontId="4" fillId="16" borderId="2" xfId="0" applyFont="1" applyFill="1" applyBorder="1" applyAlignment="1">
      <alignment horizontal="center" vertical="center" wrapText="1"/>
    </xf>
    <xf numFmtId="44" fontId="4" fillId="15" borderId="2" xfId="1" applyFont="1" applyFill="1" applyBorder="1" applyAlignment="1">
      <alignment horizontal="center" vertical="center" wrapText="1"/>
    </xf>
    <xf numFmtId="44" fontId="4" fillId="15" borderId="7" xfId="1" applyFont="1" applyFill="1" applyBorder="1" applyAlignment="1">
      <alignment horizontal="center" vertical="center" wrapText="1"/>
    </xf>
    <xf numFmtId="44" fontId="4" fillId="15" borderId="6" xfId="0" applyNumberFormat="1" applyFont="1" applyFill="1" applyBorder="1" applyAlignment="1">
      <alignment horizontal="center" vertical="center" wrapText="1"/>
    </xf>
    <xf numFmtId="44" fontId="4" fillId="15" borderId="18" xfId="1" applyFont="1" applyFill="1" applyBorder="1" applyAlignment="1">
      <alignment horizontal="center" vertical="center" wrapText="1"/>
    </xf>
    <xf numFmtId="44" fontId="4" fillId="15" borderId="2" xfId="0" applyNumberFormat="1" applyFont="1" applyFill="1" applyBorder="1" applyAlignment="1">
      <alignment horizontal="center" vertical="center" wrapText="1"/>
    </xf>
    <xf numFmtId="44" fontId="4" fillId="15" borderId="7" xfId="0" applyNumberFormat="1" applyFont="1" applyFill="1" applyBorder="1" applyAlignment="1">
      <alignment horizontal="center" vertical="center" wrapText="1"/>
    </xf>
    <xf numFmtId="44" fontId="4" fillId="15" borderId="29" xfId="0" applyNumberFormat="1" applyFont="1" applyFill="1" applyBorder="1" applyAlignment="1">
      <alignment horizontal="center" vertical="center" wrapText="1"/>
    </xf>
    <xf numFmtId="44" fontId="4" fillId="15" borderId="18" xfId="0" applyNumberFormat="1" applyFont="1" applyFill="1" applyBorder="1" applyAlignment="1">
      <alignment horizontal="center" vertical="center" wrapText="1"/>
    </xf>
    <xf numFmtId="8" fontId="4" fillId="15" borderId="2" xfId="0" applyNumberFormat="1" applyFont="1" applyFill="1" applyBorder="1" applyAlignment="1">
      <alignment horizontal="center" vertical="center" wrapText="1"/>
    </xf>
    <xf numFmtId="0" fontId="4" fillId="13" borderId="42" xfId="0" applyFont="1" applyFill="1" applyBorder="1" applyAlignment="1">
      <alignment horizontal="center" vertical="center" wrapText="1"/>
    </xf>
    <xf numFmtId="0" fontId="4" fillId="13" borderId="43" xfId="0" applyFont="1" applyFill="1" applyBorder="1" applyAlignment="1">
      <alignment horizontal="center" vertical="center" wrapText="1"/>
    </xf>
    <xf numFmtId="0" fontId="4" fillId="14" borderId="44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  <xf numFmtId="0" fontId="4" fillId="13" borderId="45" xfId="0" applyFont="1" applyFill="1" applyBorder="1" applyAlignment="1">
      <alignment horizontal="center" vertical="center" wrapText="1"/>
    </xf>
    <xf numFmtId="0" fontId="4" fillId="13" borderId="46" xfId="0" applyFont="1" applyFill="1" applyBorder="1" applyAlignment="1">
      <alignment horizontal="center" vertical="center" wrapText="1"/>
    </xf>
    <xf numFmtId="0" fontId="4" fillId="14" borderId="47" xfId="0" applyFont="1" applyFill="1" applyBorder="1" applyAlignment="1">
      <alignment horizontal="center" vertical="center" wrapText="1"/>
    </xf>
    <xf numFmtId="44" fontId="4" fillId="13" borderId="2" xfId="1" applyFont="1" applyFill="1" applyBorder="1" applyAlignment="1">
      <alignment horizontal="center" vertical="center" wrapText="1"/>
    </xf>
    <xf numFmtId="44" fontId="4" fillId="13" borderId="7" xfId="0" applyNumberFormat="1" applyFont="1" applyFill="1" applyBorder="1" applyAlignment="1">
      <alignment horizontal="center" vertical="center" wrapText="1"/>
    </xf>
    <xf numFmtId="44" fontId="4" fillId="13" borderId="18" xfId="0" applyNumberFormat="1" applyFont="1" applyFill="1" applyBorder="1" applyAlignment="1">
      <alignment horizontal="center" vertical="center" wrapText="1"/>
    </xf>
    <xf numFmtId="0" fontId="43" fillId="17" borderId="11" xfId="0" applyFont="1" applyFill="1" applyBorder="1" applyAlignment="1">
      <alignment horizontal="center" vertical="center"/>
    </xf>
    <xf numFmtId="0" fontId="28" fillId="17" borderId="11" xfId="0" applyFont="1" applyFill="1" applyBorder="1" applyAlignment="1">
      <alignment vertical="center"/>
    </xf>
    <xf numFmtId="0" fontId="4" fillId="17" borderId="11" xfId="0" applyFont="1" applyFill="1" applyBorder="1" applyAlignment="1">
      <alignment horizontal="center" vertical="center" wrapText="1"/>
    </xf>
    <xf numFmtId="0" fontId="4" fillId="17" borderId="42" xfId="0" applyFont="1" applyFill="1" applyBorder="1" applyAlignment="1">
      <alignment horizontal="center" vertical="center" wrapText="1"/>
    </xf>
    <xf numFmtId="0" fontId="4" fillId="17" borderId="43" xfId="0" applyFont="1" applyFill="1" applyBorder="1" applyAlignment="1">
      <alignment horizontal="center" vertical="center" wrapText="1"/>
    </xf>
    <xf numFmtId="0" fontId="4" fillId="18" borderId="44" xfId="0" applyFont="1" applyFill="1" applyBorder="1" applyAlignment="1">
      <alignment horizontal="center" vertical="center" wrapText="1"/>
    </xf>
    <xf numFmtId="0" fontId="2" fillId="17" borderId="11" xfId="0" applyFont="1" applyFill="1" applyBorder="1" applyAlignment="1">
      <alignment vertical="justify" wrapText="1"/>
    </xf>
    <xf numFmtId="44" fontId="4" fillId="17" borderId="11" xfId="1" applyFont="1" applyFill="1" applyBorder="1" applyAlignment="1">
      <alignment horizontal="center" vertical="center" wrapText="1"/>
    </xf>
    <xf numFmtId="44" fontId="4" fillId="17" borderId="41" xfId="0" applyNumberFormat="1" applyFont="1" applyFill="1" applyBorder="1" applyAlignment="1">
      <alignment horizontal="center" vertical="center" wrapText="1"/>
    </xf>
    <xf numFmtId="44" fontId="4" fillId="17" borderId="11" xfId="0" applyNumberFormat="1" applyFont="1" applyFill="1" applyBorder="1" applyAlignment="1">
      <alignment horizontal="center" vertical="center" wrapText="1"/>
    </xf>
    <xf numFmtId="44" fontId="4" fillId="17" borderId="42" xfId="0" applyNumberFormat="1" applyFont="1" applyFill="1" applyBorder="1" applyAlignment="1">
      <alignment horizontal="center" vertical="center" wrapText="1"/>
    </xf>
    <xf numFmtId="44" fontId="4" fillId="17" borderId="44" xfId="0" applyNumberFormat="1" applyFont="1" applyFill="1" applyBorder="1" applyAlignment="1">
      <alignment horizontal="center" vertical="center" wrapText="1"/>
    </xf>
    <xf numFmtId="44" fontId="4" fillId="17" borderId="40" xfId="0" applyNumberFormat="1" applyFont="1" applyFill="1" applyBorder="1" applyAlignment="1">
      <alignment horizontal="center" vertical="center" wrapText="1"/>
    </xf>
    <xf numFmtId="44" fontId="4" fillId="17" borderId="39" xfId="0" applyNumberFormat="1" applyFont="1" applyFill="1" applyBorder="1" applyAlignment="1">
      <alignment horizontal="center" vertical="center" wrapText="1"/>
    </xf>
    <xf numFmtId="8" fontId="4" fillId="17" borderId="11" xfId="0" applyNumberFormat="1" applyFont="1" applyFill="1" applyBorder="1" applyAlignment="1">
      <alignment horizontal="center" vertical="center" wrapText="1"/>
    </xf>
    <xf numFmtId="0" fontId="43" fillId="17" borderId="2" xfId="0" applyFont="1" applyFill="1" applyBorder="1" applyAlignment="1">
      <alignment horizontal="center" vertical="center"/>
    </xf>
    <xf numFmtId="0" fontId="28" fillId="17" borderId="2" xfId="0" applyFont="1" applyFill="1" applyBorder="1" applyAlignment="1">
      <alignment vertical="center"/>
    </xf>
    <xf numFmtId="0" fontId="4" fillId="17" borderId="2" xfId="0" applyFont="1" applyFill="1" applyBorder="1" applyAlignment="1">
      <alignment horizontal="center" vertical="center" wrapText="1"/>
    </xf>
    <xf numFmtId="0" fontId="4" fillId="17" borderId="45" xfId="0" applyFont="1" applyFill="1" applyBorder="1" applyAlignment="1">
      <alignment horizontal="center" vertical="center" wrapText="1"/>
    </xf>
    <xf numFmtId="0" fontId="4" fillId="17" borderId="46" xfId="0" applyFont="1" applyFill="1" applyBorder="1" applyAlignment="1">
      <alignment horizontal="center" vertical="center" wrapText="1"/>
    </xf>
    <xf numFmtId="0" fontId="4" fillId="18" borderId="47" xfId="0" applyFont="1" applyFill="1" applyBorder="1" applyAlignment="1">
      <alignment horizontal="center" vertical="center" wrapText="1"/>
    </xf>
    <xf numFmtId="0" fontId="0" fillId="17" borderId="0" xfId="0" applyFill="1"/>
    <xf numFmtId="44" fontId="4" fillId="17" borderId="2" xfId="1" applyFont="1" applyFill="1" applyBorder="1" applyAlignment="1">
      <alignment horizontal="center" vertical="center" wrapText="1"/>
    </xf>
    <xf numFmtId="44" fontId="4" fillId="17" borderId="29" xfId="0" applyNumberFormat="1" applyFont="1" applyFill="1" applyBorder="1" applyAlignment="1">
      <alignment horizontal="center" vertical="center" wrapText="1"/>
    </xf>
    <xf numFmtId="44" fontId="4" fillId="17" borderId="2" xfId="0" applyNumberFormat="1" applyFont="1" applyFill="1" applyBorder="1" applyAlignment="1">
      <alignment horizontal="center" vertical="center" wrapText="1"/>
    </xf>
    <xf numFmtId="44" fontId="4" fillId="17" borderId="45" xfId="0" applyNumberFormat="1" applyFont="1" applyFill="1" applyBorder="1" applyAlignment="1">
      <alignment horizontal="center" vertical="center" wrapText="1"/>
    </xf>
    <xf numFmtId="44" fontId="4" fillId="17" borderId="47" xfId="0" applyNumberFormat="1" applyFont="1" applyFill="1" applyBorder="1" applyAlignment="1">
      <alignment horizontal="center" vertical="center" wrapText="1"/>
    </xf>
    <xf numFmtId="44" fontId="4" fillId="17" borderId="7" xfId="0" applyNumberFormat="1" applyFont="1" applyFill="1" applyBorder="1" applyAlignment="1">
      <alignment horizontal="center" vertical="center" wrapText="1"/>
    </xf>
    <xf numFmtId="44" fontId="4" fillId="17" borderId="18" xfId="0" applyNumberFormat="1" applyFont="1" applyFill="1" applyBorder="1" applyAlignment="1">
      <alignment horizontal="center" vertical="center" wrapText="1"/>
    </xf>
    <xf numFmtId="8" fontId="4" fillId="17" borderId="2" xfId="0" applyNumberFormat="1" applyFont="1" applyFill="1" applyBorder="1" applyAlignment="1">
      <alignment horizontal="center" vertical="center" wrapText="1"/>
    </xf>
    <xf numFmtId="0" fontId="4" fillId="17" borderId="11" xfId="0" applyFont="1" applyFill="1" applyBorder="1" applyAlignment="1">
      <alignment horizontal="center" vertical="center"/>
    </xf>
    <xf numFmtId="0" fontId="4" fillId="17" borderId="11" xfId="0" applyFont="1" applyFill="1" applyBorder="1" applyAlignment="1">
      <alignment horizontal="left" vertical="center"/>
    </xf>
    <xf numFmtId="0" fontId="2" fillId="17" borderId="11" xfId="0" applyFont="1" applyFill="1" applyBorder="1"/>
    <xf numFmtId="44" fontId="4" fillId="17" borderId="40" xfId="1" applyFont="1" applyFill="1" applyBorder="1" applyAlignment="1">
      <alignment horizontal="center" vertical="center" wrapText="1"/>
    </xf>
    <xf numFmtId="8" fontId="4" fillId="17" borderId="11" xfId="0" applyNumberFormat="1" applyFont="1" applyFill="1" applyBorder="1" applyAlignment="1">
      <alignment horizontal="right" vertical="center" wrapText="1"/>
    </xf>
    <xf numFmtId="8" fontId="4" fillId="17" borderId="40" xfId="0" applyNumberFormat="1" applyFont="1" applyFill="1" applyBorder="1" applyAlignment="1">
      <alignment horizontal="center" vertical="center" wrapText="1"/>
    </xf>
    <xf numFmtId="8" fontId="4" fillId="17" borderId="39" xfId="0" applyNumberFormat="1" applyFont="1" applyFill="1" applyBorder="1" applyAlignment="1">
      <alignment horizontal="center" vertical="center" wrapText="1"/>
    </xf>
    <xf numFmtId="0" fontId="4" fillId="17" borderId="2" xfId="0" applyFont="1" applyFill="1" applyBorder="1" applyAlignment="1">
      <alignment horizontal="center" vertical="center"/>
    </xf>
    <xf numFmtId="0" fontId="4" fillId="17" borderId="2" xfId="0" applyFont="1" applyFill="1" applyBorder="1" applyAlignment="1">
      <alignment horizontal="left" vertical="center"/>
    </xf>
    <xf numFmtId="44" fontId="4" fillId="17" borderId="7" xfId="1" applyFont="1" applyFill="1" applyBorder="1" applyAlignment="1">
      <alignment horizontal="center" vertical="center" wrapText="1"/>
    </xf>
    <xf numFmtId="8" fontId="4" fillId="17" borderId="2" xfId="0" applyNumberFormat="1" applyFont="1" applyFill="1" applyBorder="1" applyAlignment="1">
      <alignment horizontal="right" vertical="center" wrapText="1"/>
    </xf>
    <xf numFmtId="8" fontId="4" fillId="17" borderId="7" xfId="0" applyNumberFormat="1" applyFont="1" applyFill="1" applyBorder="1" applyAlignment="1">
      <alignment horizontal="center" vertical="center" wrapText="1"/>
    </xf>
    <xf numFmtId="8" fontId="4" fillId="17" borderId="18" xfId="0" applyNumberFormat="1" applyFont="1" applyFill="1" applyBorder="1" applyAlignment="1">
      <alignment horizontal="center" vertical="center" wrapText="1"/>
    </xf>
    <xf numFmtId="0" fontId="4" fillId="15" borderId="11" xfId="0" applyFont="1" applyFill="1" applyBorder="1" applyAlignment="1">
      <alignment horizontal="center" vertical="center"/>
    </xf>
    <xf numFmtId="0" fontId="4" fillId="15" borderId="42" xfId="0" applyFont="1" applyFill="1" applyBorder="1" applyAlignment="1">
      <alignment horizontal="center" vertical="center" wrapText="1"/>
    </xf>
    <xf numFmtId="0" fontId="4" fillId="15" borderId="43" xfId="0" applyFont="1" applyFill="1" applyBorder="1" applyAlignment="1">
      <alignment horizontal="center" vertical="center" wrapText="1"/>
    </xf>
    <xf numFmtId="0" fontId="4" fillId="16" borderId="44" xfId="0" applyFont="1" applyFill="1" applyBorder="1" applyAlignment="1">
      <alignment horizontal="center" vertical="center" wrapText="1"/>
    </xf>
    <xf numFmtId="8" fontId="4" fillId="15" borderId="11" xfId="0" applyNumberFormat="1" applyFont="1" applyFill="1" applyBorder="1" applyAlignment="1">
      <alignment horizontal="right" vertical="center" wrapText="1"/>
    </xf>
    <xf numFmtId="8" fontId="4" fillId="15" borderId="40" xfId="0" applyNumberFormat="1" applyFont="1" applyFill="1" applyBorder="1" applyAlignment="1">
      <alignment horizontal="center" vertical="center" wrapText="1"/>
    </xf>
    <xf numFmtId="8" fontId="4" fillId="15" borderId="39" xfId="0" applyNumberFormat="1" applyFont="1" applyFill="1" applyBorder="1" applyAlignment="1">
      <alignment horizontal="center" vertical="center" wrapText="1"/>
    </xf>
    <xf numFmtId="0" fontId="4" fillId="15" borderId="2" xfId="0" applyFont="1" applyFill="1" applyBorder="1" applyAlignment="1">
      <alignment horizontal="center" vertical="center"/>
    </xf>
    <xf numFmtId="0" fontId="4" fillId="15" borderId="45" xfId="0" applyFont="1" applyFill="1" applyBorder="1" applyAlignment="1">
      <alignment horizontal="center" vertical="center" wrapText="1"/>
    </xf>
    <xf numFmtId="0" fontId="4" fillId="15" borderId="46" xfId="0" applyFont="1" applyFill="1" applyBorder="1" applyAlignment="1">
      <alignment horizontal="center" vertical="center" wrapText="1"/>
    </xf>
    <xf numFmtId="0" fontId="4" fillId="16" borderId="47" xfId="0" applyFont="1" applyFill="1" applyBorder="1" applyAlignment="1">
      <alignment horizontal="center" vertical="center" wrapText="1"/>
    </xf>
    <xf numFmtId="8" fontId="4" fillId="15" borderId="2" xfId="0" applyNumberFormat="1" applyFont="1" applyFill="1" applyBorder="1" applyAlignment="1">
      <alignment horizontal="right" vertical="center" wrapText="1"/>
    </xf>
    <xf numFmtId="8" fontId="4" fillId="15" borderId="7" xfId="0" applyNumberFormat="1" applyFont="1" applyFill="1" applyBorder="1" applyAlignment="1">
      <alignment horizontal="center" vertical="center" wrapText="1"/>
    </xf>
    <xf numFmtId="8" fontId="4" fillId="15" borderId="18" xfId="0" applyNumberFormat="1" applyFont="1" applyFill="1" applyBorder="1" applyAlignment="1">
      <alignment horizontal="center" vertical="center" wrapText="1"/>
    </xf>
    <xf numFmtId="0" fontId="4" fillId="15" borderId="48" xfId="0" applyFont="1" applyFill="1" applyBorder="1" applyAlignment="1">
      <alignment horizontal="center" vertical="center"/>
    </xf>
    <xf numFmtId="0" fontId="4" fillId="15" borderId="49" xfId="0" applyFont="1" applyFill="1" applyBorder="1" applyAlignment="1">
      <alignment horizontal="left" vertical="center"/>
    </xf>
    <xf numFmtId="0" fontId="4" fillId="15" borderId="50" xfId="0" applyFont="1" applyFill="1" applyBorder="1" applyAlignment="1">
      <alignment horizontal="center" vertical="center"/>
    </xf>
    <xf numFmtId="0" fontId="4" fillId="15" borderId="51" xfId="0" applyFont="1" applyFill="1" applyBorder="1" applyAlignment="1">
      <alignment horizontal="left" vertical="center"/>
    </xf>
    <xf numFmtId="0" fontId="4" fillId="13" borderId="11" xfId="0" applyFont="1" applyFill="1" applyBorder="1" applyAlignment="1">
      <alignment horizontal="center" vertical="center"/>
    </xf>
    <xf numFmtId="0" fontId="4" fillId="13" borderId="11" xfId="0" applyFont="1" applyFill="1" applyBorder="1" applyAlignment="1">
      <alignment horizontal="left" vertical="center"/>
    </xf>
    <xf numFmtId="0" fontId="2" fillId="13" borderId="11" xfId="0" applyFont="1" applyFill="1" applyBorder="1"/>
    <xf numFmtId="8" fontId="4" fillId="13" borderId="11" xfId="0" applyNumberFormat="1" applyFont="1" applyFill="1" applyBorder="1" applyAlignment="1">
      <alignment horizontal="right" vertical="center" wrapText="1"/>
    </xf>
    <xf numFmtId="8" fontId="4" fillId="13" borderId="40" xfId="0" applyNumberFormat="1" applyFont="1" applyFill="1" applyBorder="1" applyAlignment="1">
      <alignment horizontal="center" vertical="center" wrapText="1"/>
    </xf>
    <xf numFmtId="8" fontId="4" fillId="13" borderId="39" xfId="0" applyNumberFormat="1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left" vertical="center"/>
    </xf>
    <xf numFmtId="44" fontId="4" fillId="13" borderId="7" xfId="1" applyFont="1" applyFill="1" applyBorder="1" applyAlignment="1">
      <alignment horizontal="center" vertical="center" wrapText="1"/>
    </xf>
    <xf numFmtId="8" fontId="4" fillId="13" borderId="2" xfId="0" applyNumberFormat="1" applyFont="1" applyFill="1" applyBorder="1" applyAlignment="1">
      <alignment horizontal="right" vertical="center" wrapText="1"/>
    </xf>
    <xf numFmtId="8" fontId="4" fillId="13" borderId="7" xfId="0" applyNumberFormat="1" applyFont="1" applyFill="1" applyBorder="1" applyAlignment="1">
      <alignment horizontal="center" vertical="center" wrapText="1"/>
    </xf>
    <xf numFmtId="8" fontId="4" fillId="13" borderId="18" xfId="0" applyNumberFormat="1" applyFont="1" applyFill="1" applyBorder="1" applyAlignment="1">
      <alignment horizontal="center" vertical="center" wrapText="1"/>
    </xf>
    <xf numFmtId="0" fontId="4" fillId="17" borderId="11" xfId="0" applyFont="1" applyFill="1" applyBorder="1" applyAlignment="1">
      <alignment vertical="center"/>
    </xf>
    <xf numFmtId="0" fontId="4" fillId="18" borderId="11" xfId="0" applyFont="1" applyFill="1" applyBorder="1" applyAlignment="1">
      <alignment horizontal="center" vertical="center" wrapText="1"/>
    </xf>
    <xf numFmtId="0" fontId="4" fillId="17" borderId="2" xfId="0" applyFont="1" applyFill="1" applyBorder="1" applyAlignment="1">
      <alignment vertical="center"/>
    </xf>
    <xf numFmtId="0" fontId="4" fillId="18" borderId="2" xfId="0" applyFont="1" applyFill="1" applyBorder="1" applyAlignment="1">
      <alignment horizontal="center" vertical="center" wrapText="1"/>
    </xf>
    <xf numFmtId="44" fontId="4" fillId="15" borderId="17" xfId="0" applyNumberFormat="1" applyFont="1" applyFill="1" applyBorder="1" applyAlignment="1">
      <alignment horizontal="center" vertical="center" wrapText="1"/>
    </xf>
    <xf numFmtId="44" fontId="4" fillId="15" borderId="1" xfId="0" applyNumberFormat="1" applyFont="1" applyFill="1" applyBorder="1" applyAlignment="1">
      <alignment horizontal="center" vertical="center" wrapText="1"/>
    </xf>
    <xf numFmtId="44" fontId="4" fillId="15" borderId="4" xfId="0" applyNumberFormat="1" applyFont="1" applyFill="1" applyBorder="1" applyAlignment="1">
      <alignment horizontal="center" vertical="center" wrapText="1"/>
    </xf>
    <xf numFmtId="0" fontId="0" fillId="15" borderId="2" xfId="0" applyFill="1" applyBorder="1"/>
    <xf numFmtId="44" fontId="4" fillId="13" borderId="17" xfId="0" applyNumberFormat="1" applyFont="1" applyFill="1" applyBorder="1" applyAlignment="1">
      <alignment horizontal="center" vertical="center" wrapText="1"/>
    </xf>
    <xf numFmtId="44" fontId="4" fillId="13" borderId="1" xfId="0" applyNumberFormat="1" applyFont="1" applyFill="1" applyBorder="1" applyAlignment="1">
      <alignment horizontal="center" vertical="center" wrapText="1"/>
    </xf>
    <xf numFmtId="44" fontId="4" fillId="13" borderId="4" xfId="0" applyNumberFormat="1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vertical="center"/>
    </xf>
    <xf numFmtId="0" fontId="4" fillId="14" borderId="2" xfId="0" applyFont="1" applyFill="1" applyBorder="1" applyAlignment="1">
      <alignment horizontal="center" vertical="center" wrapText="1"/>
    </xf>
    <xf numFmtId="0" fontId="0" fillId="13" borderId="2" xfId="0" applyFill="1" applyBorder="1"/>
    <xf numFmtId="8" fontId="4" fillId="15" borderId="27" xfId="0" applyNumberFormat="1" applyFont="1" applyFill="1" applyBorder="1" applyAlignment="1">
      <alignment horizontal="center" vertical="center" wrapText="1"/>
    </xf>
    <xf numFmtId="44" fontId="4" fillId="17" borderId="17" xfId="0" applyNumberFormat="1" applyFont="1" applyFill="1" applyBorder="1" applyAlignment="1">
      <alignment horizontal="center" vertical="center" wrapText="1"/>
    </xf>
    <xf numFmtId="44" fontId="4" fillId="17" borderId="1" xfId="0" applyNumberFormat="1" applyFont="1" applyFill="1" applyBorder="1" applyAlignment="1">
      <alignment horizontal="center" vertical="center" wrapText="1"/>
    </xf>
    <xf numFmtId="8" fontId="4" fillId="17" borderId="1" xfId="0" applyNumberFormat="1" applyFont="1" applyFill="1" applyBorder="1" applyAlignment="1">
      <alignment horizontal="right" vertical="center" wrapText="1"/>
    </xf>
    <xf numFmtId="44" fontId="4" fillId="17" borderId="4" xfId="0" applyNumberFormat="1" applyFont="1" applyFill="1" applyBorder="1" applyAlignment="1">
      <alignment horizontal="center" vertical="center" wrapText="1"/>
    </xf>
    <xf numFmtId="8" fontId="4" fillId="13" borderId="1" xfId="0" applyNumberFormat="1" applyFont="1" applyFill="1" applyBorder="1" applyAlignment="1">
      <alignment horizontal="right" vertical="center" wrapText="1"/>
    </xf>
    <xf numFmtId="44" fontId="4" fillId="15" borderId="15" xfId="0" applyNumberFormat="1" applyFont="1" applyFill="1" applyBorder="1" applyAlignment="1">
      <alignment horizontal="center" vertical="center" wrapText="1"/>
    </xf>
    <xf numFmtId="8" fontId="4" fillId="15" borderId="1" xfId="0" applyNumberFormat="1" applyFont="1" applyFill="1" applyBorder="1" applyAlignment="1">
      <alignment horizontal="right" vertical="center" wrapText="1"/>
    </xf>
    <xf numFmtId="0" fontId="4" fillId="17" borderId="40" xfId="0" applyFont="1" applyFill="1" applyBorder="1" applyAlignment="1">
      <alignment horizontal="center" vertical="center"/>
    </xf>
    <xf numFmtId="0" fontId="4" fillId="17" borderId="7" xfId="0" applyFont="1" applyFill="1" applyBorder="1" applyAlignment="1">
      <alignment horizontal="center" vertical="center"/>
    </xf>
    <xf numFmtId="9" fontId="4" fillId="17" borderId="2" xfId="0" applyNumberFormat="1" applyFont="1" applyFill="1" applyBorder="1" applyAlignment="1">
      <alignment horizontal="center" vertical="center" wrapText="1"/>
    </xf>
    <xf numFmtId="0" fontId="4" fillId="13" borderId="40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8" fontId="4" fillId="13" borderId="27" xfId="0" applyNumberFormat="1" applyFont="1" applyFill="1" applyBorder="1" applyAlignment="1">
      <alignment horizontal="center" vertical="center" wrapText="1"/>
    </xf>
    <xf numFmtId="0" fontId="4" fillId="17" borderId="40" xfId="0" applyFont="1" applyFill="1" applyBorder="1" applyAlignment="1">
      <alignment vertical="center" wrapText="1"/>
    </xf>
    <xf numFmtId="0" fontId="17" fillId="18" borderId="43" xfId="0" applyFont="1" applyFill="1" applyBorder="1" applyAlignment="1">
      <alignment horizontal="center" vertical="center" wrapText="1"/>
    </xf>
    <xf numFmtId="0" fontId="17" fillId="17" borderId="49" xfId="0" applyFont="1" applyFill="1" applyBorder="1" applyAlignment="1">
      <alignment horizontal="center" vertical="center" wrapText="1"/>
    </xf>
    <xf numFmtId="0" fontId="17" fillId="17" borderId="11" xfId="0" applyFont="1" applyFill="1" applyBorder="1" applyAlignment="1">
      <alignment horizontal="center" vertical="center" wrapText="1"/>
    </xf>
    <xf numFmtId="0" fontId="4" fillId="17" borderId="7" xfId="0" applyFont="1" applyFill="1" applyBorder="1" applyAlignment="1">
      <alignment vertical="center" wrapText="1"/>
    </xf>
    <xf numFmtId="0" fontId="4" fillId="17" borderId="3" xfId="0" applyFont="1" applyFill="1" applyBorder="1" applyAlignment="1">
      <alignment horizontal="center" vertical="center" wrapText="1"/>
    </xf>
    <xf numFmtId="0" fontId="4" fillId="17" borderId="52" xfId="0" applyFont="1" applyFill="1" applyBorder="1" applyAlignment="1">
      <alignment horizontal="center" vertical="center" wrapText="1"/>
    </xf>
    <xf numFmtId="0" fontId="4" fillId="17" borderId="53" xfId="0" applyFont="1" applyFill="1" applyBorder="1" applyAlignment="1">
      <alignment horizontal="center" vertical="center" wrapText="1"/>
    </xf>
    <xf numFmtId="0" fontId="17" fillId="18" borderId="53" xfId="0" applyFont="1" applyFill="1" applyBorder="1" applyAlignment="1">
      <alignment horizontal="center" vertical="center" wrapText="1"/>
    </xf>
    <xf numFmtId="0" fontId="17" fillId="17" borderId="54" xfId="0" applyFont="1" applyFill="1" applyBorder="1" applyAlignment="1">
      <alignment horizontal="center" vertical="center" wrapText="1"/>
    </xf>
    <xf numFmtId="44" fontId="4" fillId="17" borderId="3" xfId="1" applyFont="1" applyFill="1" applyBorder="1" applyAlignment="1">
      <alignment horizontal="center" vertical="center" wrapText="1"/>
    </xf>
    <xf numFmtId="44" fontId="4" fillId="17" borderId="3" xfId="0" applyNumberFormat="1" applyFont="1" applyFill="1" applyBorder="1" applyAlignment="1">
      <alignment horizontal="center" vertical="center" wrapText="1"/>
    </xf>
    <xf numFmtId="44" fontId="4" fillId="17" borderId="8" xfId="0" applyNumberFormat="1" applyFont="1" applyFill="1" applyBorder="1" applyAlignment="1">
      <alignment horizontal="center" vertical="center" wrapText="1"/>
    </xf>
    <xf numFmtId="44" fontId="4" fillId="17" borderId="27" xfId="0" applyNumberFormat="1" applyFont="1" applyFill="1" applyBorder="1" applyAlignment="1">
      <alignment horizontal="center" vertical="center" wrapText="1"/>
    </xf>
    <xf numFmtId="44" fontId="4" fillId="17" borderId="28" xfId="0" applyNumberFormat="1" applyFont="1" applyFill="1" applyBorder="1" applyAlignment="1">
      <alignment horizontal="center" vertical="center" wrapText="1"/>
    </xf>
    <xf numFmtId="8" fontId="4" fillId="17" borderId="27" xfId="0" applyNumberFormat="1" applyFont="1" applyFill="1" applyBorder="1" applyAlignment="1">
      <alignment horizontal="center" vertical="center" wrapText="1"/>
    </xf>
    <xf numFmtId="0" fontId="4" fillId="15" borderId="40" xfId="0" applyFont="1" applyFill="1" applyBorder="1" applyAlignment="1">
      <alignment vertical="center" wrapText="1"/>
    </xf>
    <xf numFmtId="0" fontId="17" fillId="16" borderId="43" xfId="0" applyFont="1" applyFill="1" applyBorder="1" applyAlignment="1">
      <alignment horizontal="center" vertical="center" wrapText="1"/>
    </xf>
    <xf numFmtId="0" fontId="17" fillId="15" borderId="49" xfId="0" applyFont="1" applyFill="1" applyBorder="1" applyAlignment="1">
      <alignment horizontal="center" vertical="center" wrapText="1"/>
    </xf>
    <xf numFmtId="0" fontId="17" fillId="15" borderId="11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vertical="center" wrapText="1"/>
    </xf>
    <xf numFmtId="0" fontId="17" fillId="16" borderId="46" xfId="0" applyFont="1" applyFill="1" applyBorder="1" applyAlignment="1">
      <alignment horizontal="center" vertical="center" wrapText="1"/>
    </xf>
    <xf numFmtId="0" fontId="17" fillId="15" borderId="51" xfId="0" applyFont="1" applyFill="1" applyBorder="1" applyAlignment="1">
      <alignment horizontal="center" vertical="center" wrapText="1"/>
    </xf>
    <xf numFmtId="0" fontId="0" fillId="15" borderId="6" xfId="0" applyFill="1" applyBorder="1"/>
    <xf numFmtId="44" fontId="4" fillId="15" borderId="3" xfId="0" applyNumberFormat="1" applyFont="1" applyFill="1" applyBorder="1" applyAlignment="1">
      <alignment horizontal="center" vertical="center" wrapText="1"/>
    </xf>
    <xf numFmtId="0" fontId="4" fillId="13" borderId="40" xfId="0" applyFont="1" applyFill="1" applyBorder="1" applyAlignment="1">
      <alignment vertical="center" wrapText="1"/>
    </xf>
    <xf numFmtId="0" fontId="17" fillId="14" borderId="43" xfId="0" applyFont="1" applyFill="1" applyBorder="1" applyAlignment="1">
      <alignment horizontal="center" vertical="center" wrapText="1"/>
    </xf>
    <xf numFmtId="0" fontId="17" fillId="13" borderId="49" xfId="0" applyFont="1" applyFill="1" applyBorder="1" applyAlignment="1">
      <alignment horizontal="center" vertical="center" wrapText="1"/>
    </xf>
    <xf numFmtId="0" fontId="17" fillId="13" borderId="11" xfId="0" applyFont="1" applyFill="1" applyBorder="1" applyAlignment="1">
      <alignment horizontal="center" vertical="center" wrapText="1"/>
    </xf>
    <xf numFmtId="0" fontId="4" fillId="13" borderId="7" xfId="0" applyFont="1" applyFill="1" applyBorder="1" applyAlignment="1">
      <alignment vertical="center" wrapText="1"/>
    </xf>
    <xf numFmtId="0" fontId="17" fillId="14" borderId="46" xfId="0" applyFont="1" applyFill="1" applyBorder="1" applyAlignment="1">
      <alignment horizontal="center" vertical="center" wrapText="1"/>
    </xf>
    <xf numFmtId="0" fontId="17" fillId="13" borderId="51" xfId="0" applyFont="1" applyFill="1" applyBorder="1" applyAlignment="1">
      <alignment horizontal="center" vertical="center" wrapText="1"/>
    </xf>
    <xf numFmtId="0" fontId="0" fillId="13" borderId="6" xfId="0" applyFill="1" applyBorder="1"/>
    <xf numFmtId="0" fontId="15" fillId="15" borderId="11" xfId="0" applyFont="1" applyFill="1" applyBorder="1" applyAlignment="1">
      <alignment horizontal="center" vertical="center" wrapText="1"/>
    </xf>
    <xf numFmtId="0" fontId="15" fillId="15" borderId="40" xfId="0" applyFont="1" applyFill="1" applyBorder="1" applyAlignment="1">
      <alignment vertical="center" wrapText="1"/>
    </xf>
    <xf numFmtId="0" fontId="15" fillId="15" borderId="2" xfId="0" applyFont="1" applyFill="1" applyBorder="1" applyAlignment="1">
      <alignment horizontal="center" vertical="center" wrapText="1"/>
    </xf>
    <xf numFmtId="0" fontId="15" fillId="15" borderId="7" xfId="0" applyFont="1" applyFill="1" applyBorder="1" applyAlignment="1">
      <alignment vertical="center" wrapText="1"/>
    </xf>
    <xf numFmtId="0" fontId="17" fillId="18" borderId="46" xfId="0" applyFont="1" applyFill="1" applyBorder="1" applyAlignment="1">
      <alignment horizontal="center" vertical="center" wrapText="1"/>
    </xf>
    <xf numFmtId="0" fontId="17" fillId="17" borderId="51" xfId="0" applyFont="1" applyFill="1" applyBorder="1" applyAlignment="1">
      <alignment horizontal="center" vertical="center" wrapText="1"/>
    </xf>
    <xf numFmtId="0" fontId="17" fillId="18" borderId="11" xfId="0" applyFont="1" applyFill="1" applyBorder="1" applyAlignment="1">
      <alignment horizontal="center" vertical="center" wrapText="1"/>
    </xf>
    <xf numFmtId="0" fontId="17" fillId="18" borderId="2" xfId="0" applyFont="1" applyFill="1" applyBorder="1" applyAlignment="1">
      <alignment horizontal="center" vertical="center" wrapText="1"/>
    </xf>
    <xf numFmtId="0" fontId="17" fillId="17" borderId="2" xfId="0" applyFont="1" applyFill="1" applyBorder="1" applyAlignment="1">
      <alignment horizontal="center" vertical="center" wrapText="1"/>
    </xf>
    <xf numFmtId="0" fontId="17" fillId="14" borderId="11" xfId="0" applyFont="1" applyFill="1" applyBorder="1" applyAlignment="1">
      <alignment horizontal="center" vertical="center" wrapText="1"/>
    </xf>
    <xf numFmtId="44" fontId="4" fillId="13" borderId="15" xfId="1" applyFont="1" applyFill="1" applyBorder="1" applyAlignment="1">
      <alignment horizontal="center" vertical="center" wrapText="1"/>
    </xf>
    <xf numFmtId="44" fontId="4" fillId="13" borderId="25" xfId="1" applyFont="1" applyFill="1" applyBorder="1" applyAlignment="1">
      <alignment horizontal="center" vertical="center" wrapText="1"/>
    </xf>
    <xf numFmtId="44" fontId="4" fillId="13" borderId="25" xfId="0" applyNumberFormat="1" applyFont="1" applyFill="1" applyBorder="1" applyAlignment="1">
      <alignment horizontal="center" vertical="center" wrapText="1"/>
    </xf>
    <xf numFmtId="44" fontId="4" fillId="13" borderId="26" xfId="0" applyNumberFormat="1" applyFont="1" applyFill="1" applyBorder="1" applyAlignment="1">
      <alignment horizontal="center" vertical="center" wrapText="1"/>
    </xf>
    <xf numFmtId="44" fontId="4" fillId="13" borderId="15" xfId="0" applyNumberFormat="1" applyFont="1" applyFill="1" applyBorder="1" applyAlignment="1">
      <alignment horizontal="center" vertical="center" wrapText="1"/>
    </xf>
    <xf numFmtId="0" fontId="17" fillId="14" borderId="2" xfId="0" applyFont="1" applyFill="1" applyBorder="1" applyAlignment="1">
      <alignment horizontal="center" vertical="center" wrapText="1"/>
    </xf>
    <xf numFmtId="0" fontId="17" fillId="13" borderId="2" xfId="0" applyFont="1" applyFill="1" applyBorder="1" applyAlignment="1">
      <alignment horizontal="center" vertical="center" wrapText="1"/>
    </xf>
    <xf numFmtId="0" fontId="0" fillId="13" borderId="20" xfId="0" applyFill="1" applyBorder="1"/>
    <xf numFmtId="0" fontId="17" fillId="16" borderId="11" xfId="0" applyFont="1" applyFill="1" applyBorder="1" applyAlignment="1">
      <alignment horizontal="center" vertical="center" wrapText="1"/>
    </xf>
    <xf numFmtId="0" fontId="17" fillId="16" borderId="2" xfId="0" applyFont="1" applyFill="1" applyBorder="1" applyAlignment="1">
      <alignment horizontal="center" vertical="center" wrapText="1"/>
    </xf>
    <xf numFmtId="0" fontId="17" fillId="15" borderId="2" xfId="0" applyFont="1" applyFill="1" applyBorder="1" applyAlignment="1">
      <alignment horizontal="center" vertical="center" wrapText="1"/>
    </xf>
    <xf numFmtId="0" fontId="4" fillId="17" borderId="11" xfId="0" applyFont="1" applyFill="1" applyBorder="1" applyAlignment="1">
      <alignment horizontal="left" vertical="center" wrapText="1"/>
    </xf>
    <xf numFmtId="0" fontId="4" fillId="17" borderId="11" xfId="0" applyFont="1" applyFill="1" applyBorder="1" applyAlignment="1">
      <alignment horizontal="center" wrapText="1"/>
    </xf>
    <xf numFmtId="44" fontId="4" fillId="17" borderId="11" xfId="1" applyFont="1" applyFill="1" applyBorder="1" applyAlignment="1">
      <alignment horizontal="center" wrapText="1"/>
    </xf>
    <xf numFmtId="44" fontId="4" fillId="17" borderId="11" xfId="0" applyNumberFormat="1" applyFont="1" applyFill="1" applyBorder="1" applyAlignment="1">
      <alignment horizontal="center" wrapText="1"/>
    </xf>
    <xf numFmtId="0" fontId="4" fillId="17" borderId="2" xfId="0" applyFont="1" applyFill="1" applyBorder="1" applyAlignment="1">
      <alignment horizontal="left" vertical="center" wrapText="1"/>
    </xf>
    <xf numFmtId="0" fontId="4" fillId="17" borderId="2" xfId="0" applyFont="1" applyFill="1" applyBorder="1" applyAlignment="1">
      <alignment horizontal="center" wrapText="1"/>
    </xf>
    <xf numFmtId="0" fontId="4" fillId="15" borderId="11" xfId="0" applyFont="1" applyFill="1" applyBorder="1" applyAlignment="1">
      <alignment vertical="center" wrapText="1"/>
    </xf>
    <xf numFmtId="44" fontId="4" fillId="15" borderId="16" xfId="0" applyNumberFormat="1" applyFont="1" applyFill="1" applyBorder="1" applyAlignment="1">
      <alignment horizontal="center" vertical="center" wrapText="1"/>
    </xf>
    <xf numFmtId="0" fontId="4" fillId="15" borderId="2" xfId="0" applyFont="1" applyFill="1" applyBorder="1" applyAlignment="1">
      <alignment vertical="center" wrapText="1"/>
    </xf>
    <xf numFmtId="0" fontId="4" fillId="13" borderId="11" xfId="0" applyFont="1" applyFill="1" applyBorder="1" applyAlignment="1">
      <alignment vertical="center" wrapText="1"/>
    </xf>
    <xf numFmtId="44" fontId="4" fillId="13" borderId="16" xfId="0" applyNumberFormat="1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vertical="center" wrapText="1"/>
    </xf>
    <xf numFmtId="0" fontId="4" fillId="17" borderId="5" xfId="0" applyFont="1" applyFill="1" applyBorder="1" applyAlignment="1">
      <alignment horizontal="center" vertical="center" wrapText="1"/>
    </xf>
    <xf numFmtId="0" fontId="4" fillId="17" borderId="5" xfId="0" applyFont="1" applyFill="1" applyBorder="1" applyAlignment="1">
      <alignment horizontal="left" vertical="center" wrapText="1"/>
    </xf>
    <xf numFmtId="8" fontId="4" fillId="17" borderId="40" xfId="0" applyNumberFormat="1" applyFont="1" applyFill="1" applyBorder="1" applyAlignment="1">
      <alignment horizontal="right" vertical="center" wrapText="1"/>
    </xf>
    <xf numFmtId="0" fontId="4" fillId="17" borderId="50" xfId="0" applyFont="1" applyFill="1" applyBorder="1" applyAlignment="1">
      <alignment horizontal="center" vertical="center" wrapText="1"/>
    </xf>
    <xf numFmtId="0" fontId="4" fillId="17" borderId="46" xfId="0" applyFont="1" applyFill="1" applyBorder="1" applyAlignment="1">
      <alignment horizontal="left" vertical="center" wrapText="1"/>
    </xf>
    <xf numFmtId="0" fontId="4" fillId="17" borderId="6" xfId="0" applyFont="1" applyFill="1" applyBorder="1" applyAlignment="1">
      <alignment horizontal="center" wrapText="1"/>
    </xf>
    <xf numFmtId="0" fontId="4" fillId="18" borderId="6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4" fillId="13" borderId="41" xfId="0" applyFont="1" applyFill="1" applyBorder="1" applyAlignment="1">
      <alignment horizontal="left" vertical="center" wrapText="1"/>
    </xf>
    <xf numFmtId="0" fontId="4" fillId="13" borderId="11" xfId="0" applyFont="1" applyFill="1" applyBorder="1" applyAlignment="1">
      <alignment horizontal="center" wrapText="1"/>
    </xf>
    <xf numFmtId="8" fontId="4" fillId="13" borderId="40" xfId="0" applyNumberFormat="1" applyFont="1" applyFill="1" applyBorder="1" applyAlignment="1">
      <alignment horizontal="right" vertical="center" wrapText="1"/>
    </xf>
    <xf numFmtId="0" fontId="4" fillId="13" borderId="29" xfId="0" applyFont="1" applyFill="1" applyBorder="1" applyAlignment="1">
      <alignment horizontal="left" vertical="center" wrapText="1"/>
    </xf>
    <xf numFmtId="0" fontId="4" fillId="13" borderId="2" xfId="0" applyFont="1" applyFill="1" applyBorder="1" applyAlignment="1">
      <alignment horizontal="center" wrapText="1"/>
    </xf>
    <xf numFmtId="0" fontId="0" fillId="13" borderId="19" xfId="0" applyFill="1" applyBorder="1"/>
    <xf numFmtId="0" fontId="4" fillId="17" borderId="6" xfId="0" applyFont="1" applyFill="1" applyBorder="1" applyAlignment="1">
      <alignment horizontal="center" vertical="center"/>
    </xf>
    <xf numFmtId="0" fontId="4" fillId="17" borderId="6" xfId="0" applyFont="1" applyFill="1" applyBorder="1" applyAlignment="1">
      <alignment vertical="center"/>
    </xf>
    <xf numFmtId="0" fontId="4" fillId="17" borderId="39" xfId="0" applyFont="1" applyFill="1" applyBorder="1" applyAlignment="1">
      <alignment horizontal="left" vertical="center"/>
    </xf>
    <xf numFmtId="0" fontId="16" fillId="17" borderId="11" xfId="0" applyFont="1" applyFill="1" applyBorder="1" applyAlignment="1">
      <alignment horizontal="center" vertical="center" wrapText="1"/>
    </xf>
    <xf numFmtId="44" fontId="16" fillId="17" borderId="11" xfId="0" applyNumberFormat="1" applyFont="1" applyFill="1" applyBorder="1" applyAlignment="1">
      <alignment horizontal="center" vertical="center" wrapText="1"/>
    </xf>
    <xf numFmtId="0" fontId="4" fillId="17" borderId="18" xfId="0" applyFont="1" applyFill="1" applyBorder="1" applyAlignment="1">
      <alignment horizontal="left" vertical="center"/>
    </xf>
    <xf numFmtId="0" fontId="16" fillId="17" borderId="2" xfId="0" applyFont="1" applyFill="1" applyBorder="1" applyAlignment="1">
      <alignment horizontal="center" vertical="center" wrapText="1"/>
    </xf>
    <xf numFmtId="0" fontId="4" fillId="13" borderId="39" xfId="0" applyFont="1" applyFill="1" applyBorder="1" applyAlignment="1">
      <alignment horizontal="left" vertical="center"/>
    </xf>
    <xf numFmtId="0" fontId="16" fillId="13" borderId="11" xfId="0" applyFont="1" applyFill="1" applyBorder="1" applyAlignment="1">
      <alignment horizontal="center" vertical="center" wrapText="1"/>
    </xf>
    <xf numFmtId="44" fontId="16" fillId="13" borderId="11" xfId="0" applyNumberFormat="1" applyFont="1" applyFill="1" applyBorder="1" applyAlignment="1">
      <alignment horizontal="center" vertical="center" wrapText="1"/>
    </xf>
    <xf numFmtId="0" fontId="4" fillId="13" borderId="18" xfId="0" applyFont="1" applyFill="1" applyBorder="1" applyAlignment="1">
      <alignment horizontal="left" vertical="center"/>
    </xf>
    <xf numFmtId="0" fontId="16" fillId="13" borderId="2" xfId="0" applyFont="1" applyFill="1" applyBorder="1" applyAlignment="1">
      <alignment horizontal="center" vertical="center" wrapText="1"/>
    </xf>
    <xf numFmtId="8" fontId="4" fillId="13" borderId="2" xfId="0" applyNumberFormat="1" applyFont="1" applyFill="1" applyBorder="1" applyAlignment="1">
      <alignment horizontal="center" vertical="center" wrapText="1"/>
    </xf>
    <xf numFmtId="8" fontId="4" fillId="9" borderId="15" xfId="0" applyNumberFormat="1" applyFont="1" applyFill="1" applyBorder="1" applyAlignment="1">
      <alignment horizontal="center" vertical="center" wrapText="1"/>
    </xf>
    <xf numFmtId="8" fontId="4" fillId="13" borderId="1" xfId="0" applyNumberFormat="1" applyFont="1" applyFill="1" applyBorder="1" applyAlignment="1">
      <alignment horizontal="center" vertical="center" wrapText="1"/>
    </xf>
    <xf numFmtId="8" fontId="4" fillId="15" borderId="1" xfId="0" applyNumberFormat="1" applyFont="1" applyFill="1" applyBorder="1" applyAlignment="1">
      <alignment horizontal="center" vertical="center" wrapText="1"/>
    </xf>
    <xf numFmtId="8" fontId="4" fillId="17" borderId="3" xfId="0" applyNumberFormat="1" applyFont="1" applyFill="1" applyBorder="1" applyAlignment="1">
      <alignment horizontal="center" vertical="center" wrapText="1"/>
    </xf>
    <xf numFmtId="8" fontId="4" fillId="9" borderId="10" xfId="0" applyNumberFormat="1" applyFont="1" applyFill="1" applyBorder="1" applyAlignment="1">
      <alignment horizontal="center" vertical="center" wrapText="1"/>
    </xf>
    <xf numFmtId="8" fontId="4" fillId="13" borderId="15" xfId="0" applyNumberFormat="1" applyFont="1" applyFill="1" applyBorder="1" applyAlignment="1">
      <alignment horizontal="center" vertical="center" wrapText="1"/>
    </xf>
    <xf numFmtId="8" fontId="16" fillId="9" borderId="1" xfId="0" applyNumberFormat="1" applyFont="1" applyFill="1" applyBorder="1" applyAlignment="1">
      <alignment horizontal="center" vertical="center" wrapText="1"/>
    </xf>
    <xf numFmtId="0" fontId="38" fillId="0" borderId="0" xfId="0" applyFont="1" applyAlignment="1">
      <alignment horizontal="justify" vertical="center"/>
    </xf>
    <xf numFmtId="0" fontId="39" fillId="0" borderId="14" xfId="0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0" fillId="0" borderId="20" xfId="0" applyBorder="1" applyAlignment="1">
      <alignment vertical="top" wrapText="1"/>
    </xf>
    <xf numFmtId="0" fontId="41" fillId="0" borderId="6" xfId="0" applyFont="1" applyBorder="1" applyAlignment="1">
      <alignment horizontal="center" vertical="center" wrapText="1"/>
    </xf>
    <xf numFmtId="0" fontId="41" fillId="0" borderId="20" xfId="0" applyFont="1" applyBorder="1" applyAlignment="1">
      <alignment horizontal="center" vertical="center" wrapText="1"/>
    </xf>
    <xf numFmtId="8" fontId="41" fillId="0" borderId="20" xfId="0" applyNumberFormat="1" applyFont="1" applyBorder="1" applyAlignment="1">
      <alignment horizontal="center" vertical="center" wrapText="1"/>
    </xf>
    <xf numFmtId="44" fontId="4" fillId="13" borderId="30" xfId="0" applyNumberFormat="1" applyFont="1" applyFill="1" applyBorder="1" applyAlignment="1">
      <alignment horizontal="center" vertical="center" wrapText="1"/>
    </xf>
    <xf numFmtId="44" fontId="4" fillId="0" borderId="11" xfId="0" applyNumberFormat="1" applyFont="1" applyBorder="1" applyAlignment="1">
      <alignment horizontal="center" vertical="center" wrapText="1"/>
    </xf>
    <xf numFmtId="44" fontId="4" fillId="9" borderId="8" xfId="0" applyNumberFormat="1" applyFont="1" applyFill="1" applyBorder="1" applyAlignment="1">
      <alignment horizontal="center" vertical="center" wrapText="1"/>
    </xf>
    <xf numFmtId="44" fontId="4" fillId="0" borderId="11" xfId="0" applyNumberFormat="1" applyFont="1" applyFill="1" applyBorder="1" applyAlignment="1">
      <alignment horizontal="center" vertical="center" wrapText="1"/>
    </xf>
    <xf numFmtId="44" fontId="4" fillId="13" borderId="28" xfId="0" applyNumberFormat="1" applyFont="1" applyFill="1" applyBorder="1" applyAlignment="1">
      <alignment horizontal="center" vertical="center" wrapText="1"/>
    </xf>
    <xf numFmtId="44" fontId="4" fillId="0" borderId="1" xfId="0" applyNumberFormat="1" applyFont="1" applyFill="1" applyBorder="1" applyAlignment="1">
      <alignment horizontal="center" vertical="center" wrapText="1"/>
    </xf>
    <xf numFmtId="44" fontId="16" fillId="9" borderId="25" xfId="0" applyNumberFormat="1" applyFont="1" applyFill="1" applyBorder="1" applyAlignment="1">
      <alignment horizontal="center" vertical="center" wrapText="1"/>
    </xf>
    <xf numFmtId="44" fontId="16" fillId="9" borderId="4" xfId="0" applyNumberFormat="1" applyFont="1" applyFill="1" applyBorder="1" applyAlignment="1">
      <alignment horizontal="center" vertical="center" wrapText="1"/>
    </xf>
    <xf numFmtId="44" fontId="16" fillId="9" borderId="7" xfId="0" applyNumberFormat="1" applyFont="1" applyFill="1" applyBorder="1" applyAlignment="1">
      <alignment horizontal="center" vertical="center" wrapText="1"/>
    </xf>
    <xf numFmtId="44" fontId="4" fillId="9" borderId="30" xfId="0" applyNumberFormat="1" applyFont="1" applyFill="1" applyBorder="1" applyAlignment="1">
      <alignment horizontal="center" vertical="center" wrapText="1"/>
    </xf>
    <xf numFmtId="44" fontId="4" fillId="0" borderId="39" xfId="0" applyNumberFormat="1" applyFont="1" applyBorder="1" applyAlignment="1">
      <alignment horizontal="center" vertical="center" wrapText="1"/>
    </xf>
    <xf numFmtId="44" fontId="4" fillId="0" borderId="2" xfId="0" applyNumberFormat="1" applyFont="1" applyFill="1" applyBorder="1" applyAlignment="1">
      <alignment horizontal="center" vertical="center" wrapText="1"/>
    </xf>
    <xf numFmtId="44" fontId="4" fillId="17" borderId="15" xfId="0" applyNumberFormat="1" applyFont="1" applyFill="1" applyBorder="1" applyAlignment="1">
      <alignment horizontal="center" vertical="center" wrapText="1"/>
    </xf>
    <xf numFmtId="44" fontId="4" fillId="9" borderId="39" xfId="0" applyNumberFormat="1" applyFont="1" applyFill="1" applyBorder="1" applyAlignment="1">
      <alignment horizontal="center" vertical="center" wrapText="1"/>
    </xf>
    <xf numFmtId="44" fontId="4" fillId="15" borderId="8" xfId="0" applyNumberFormat="1" applyFont="1" applyFill="1" applyBorder="1" applyAlignment="1">
      <alignment horizontal="center" vertical="center" wrapText="1"/>
    </xf>
    <xf numFmtId="168" fontId="14" fillId="12" borderId="55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44" fontId="2" fillId="0" borderId="14" xfId="0" applyNumberFormat="1" applyFont="1" applyBorder="1" applyAlignment="1">
      <alignment horizontal="center" wrapText="1"/>
    </xf>
    <xf numFmtId="2" fontId="4" fillId="0" borderId="1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44" fontId="4" fillId="0" borderId="1" xfId="0" applyNumberFormat="1" applyFont="1" applyBorder="1" applyAlignment="1">
      <alignment vertical="center"/>
    </xf>
    <xf numFmtId="44" fontId="4" fillId="0" borderId="2" xfId="0" applyNumberFormat="1" applyFont="1" applyBorder="1" applyAlignment="1">
      <alignment vertical="center"/>
    </xf>
    <xf numFmtId="44" fontId="4" fillId="0" borderId="15" xfId="0" applyNumberFormat="1" applyFont="1" applyBorder="1" applyAlignment="1">
      <alignment vertical="center"/>
    </xf>
    <xf numFmtId="2" fontId="4" fillId="0" borderId="11" xfId="0" applyNumberFormat="1" applyFont="1" applyBorder="1" applyAlignment="1">
      <alignment horizontal="center" wrapText="1"/>
    </xf>
    <xf numFmtId="2" fontId="4" fillId="0" borderId="2" xfId="0" applyNumberFormat="1" applyFont="1" applyBorder="1" applyAlignment="1">
      <alignment horizontal="center" wrapText="1"/>
    </xf>
    <xf numFmtId="44" fontId="4" fillId="0" borderId="11" xfId="0" applyNumberFormat="1" applyFont="1" applyBorder="1" applyAlignment="1">
      <alignment horizontal="center" wrapText="1"/>
    </xf>
    <xf numFmtId="44" fontId="4" fillId="0" borderId="11" xfId="0" applyNumberFormat="1" applyFont="1" applyBorder="1"/>
    <xf numFmtId="10" fontId="42" fillId="0" borderId="0" xfId="0" applyNumberFormat="1" applyFont="1"/>
    <xf numFmtId="10" fontId="42" fillId="0" borderId="14" xfId="0" applyNumberFormat="1" applyFont="1" applyBorder="1"/>
    <xf numFmtId="2" fontId="4" fillId="0" borderId="14" xfId="0" applyNumberFormat="1" applyFont="1" applyBorder="1" applyAlignment="1">
      <alignment horizontal="center" wrapText="1"/>
    </xf>
    <xf numFmtId="44" fontId="2" fillId="0" borderId="3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44" fontId="4" fillId="0" borderId="39" xfId="0" applyNumberFormat="1" applyFont="1" applyBorder="1" applyAlignment="1">
      <alignment vertical="center"/>
    </xf>
    <xf numFmtId="44" fontId="4" fillId="0" borderId="18" xfId="0" applyNumberFormat="1" applyFont="1" applyBorder="1" applyAlignment="1">
      <alignment vertical="center"/>
    </xf>
    <xf numFmtId="10" fontId="20" fillId="0" borderId="0" xfId="0" applyNumberFormat="1" applyFont="1" applyAlignment="1">
      <alignment horizontal="center" wrapText="1"/>
    </xf>
    <xf numFmtId="0" fontId="0" fillId="0" borderId="0" xfId="0" applyBorder="1"/>
    <xf numFmtId="2" fontId="4" fillId="0" borderId="5" xfId="0" applyNumberFormat="1" applyFont="1" applyBorder="1" applyAlignment="1">
      <alignment horizontal="center" vertical="center" wrapText="1"/>
    </xf>
    <xf numFmtId="44" fontId="4" fillId="0" borderId="5" xfId="0" applyNumberFormat="1" applyFont="1" applyBorder="1" applyAlignment="1">
      <alignment horizontal="center" vertical="center" wrapText="1"/>
    </xf>
    <xf numFmtId="44" fontId="4" fillId="0" borderId="5" xfId="0" applyNumberFormat="1" applyFont="1" applyBorder="1" applyAlignment="1">
      <alignment vertical="center"/>
    </xf>
    <xf numFmtId="44" fontId="4" fillId="9" borderId="40" xfId="0" applyNumberFormat="1" applyFont="1" applyFill="1" applyBorder="1" applyAlignment="1">
      <alignment horizontal="center" vertical="center" wrapText="1"/>
    </xf>
    <xf numFmtId="44" fontId="4" fillId="0" borderId="39" xfId="1" applyFont="1" applyBorder="1" applyAlignment="1">
      <alignment horizontal="center" wrapText="1"/>
    </xf>
    <xf numFmtId="44" fontId="4" fillId="0" borderId="17" xfId="1" applyFont="1" applyBorder="1" applyAlignment="1">
      <alignment horizontal="center" wrapText="1"/>
    </xf>
    <xf numFmtId="44" fontId="4" fillId="0" borderId="18" xfId="1" applyFont="1" applyBorder="1" applyAlignment="1">
      <alignment horizontal="center" wrapText="1"/>
    </xf>
    <xf numFmtId="44" fontId="4" fillId="0" borderId="14" xfId="1" applyFont="1" applyBorder="1" applyAlignment="1">
      <alignment horizontal="center" wrapText="1"/>
    </xf>
    <xf numFmtId="44" fontId="4" fillId="0" borderId="14" xfId="1" applyFont="1" applyBorder="1" applyAlignment="1">
      <alignment horizontal="right" wrapText="1"/>
    </xf>
    <xf numFmtId="44" fontId="4" fillId="0" borderId="11" xfId="1" applyFont="1" applyBorder="1" applyAlignment="1">
      <alignment horizontal="center" wrapText="1"/>
    </xf>
    <xf numFmtId="44" fontId="4" fillId="0" borderId="11" xfId="1" applyFont="1" applyBorder="1" applyAlignment="1">
      <alignment horizontal="right" wrapText="1"/>
    </xf>
    <xf numFmtId="44" fontId="4" fillId="0" borderId="1" xfId="1" applyFont="1" applyBorder="1" applyAlignment="1">
      <alignment horizontal="center" wrapText="1"/>
    </xf>
    <xf numFmtId="44" fontId="4" fillId="0" borderId="1" xfId="1" applyFont="1" applyBorder="1" applyAlignment="1">
      <alignment horizontal="right" wrapText="1"/>
    </xf>
    <xf numFmtId="44" fontId="4" fillId="0" borderId="2" xfId="1" applyFont="1" applyBorder="1" applyAlignment="1">
      <alignment horizontal="center" wrapText="1"/>
    </xf>
    <xf numFmtId="44" fontId="4" fillId="0" borderId="2" xfId="1" applyFont="1" applyBorder="1" applyAlignment="1">
      <alignment horizontal="right" wrapText="1"/>
    </xf>
    <xf numFmtId="0" fontId="0" fillId="17" borderId="0" xfId="0" applyFill="1" applyProtection="1">
      <protection locked="0"/>
    </xf>
    <xf numFmtId="44" fontId="4" fillId="0" borderId="40" xfId="1" applyFont="1" applyBorder="1" applyAlignment="1">
      <alignment horizontal="center" wrapText="1"/>
    </xf>
    <xf numFmtId="44" fontId="4" fillId="0" borderId="4" xfId="1" applyFont="1" applyBorder="1" applyAlignment="1">
      <alignment horizontal="center" wrapText="1"/>
    </xf>
    <xf numFmtId="44" fontId="4" fillId="0" borderId="7" xfId="1" applyFont="1" applyBorder="1" applyAlignment="1">
      <alignment horizontal="center" wrapText="1"/>
    </xf>
    <xf numFmtId="0" fontId="39" fillId="0" borderId="0" xfId="0" applyFont="1" applyBorder="1" applyAlignment="1">
      <alignment horizontal="center" vertical="center" wrapText="1"/>
    </xf>
    <xf numFmtId="0" fontId="40" fillId="0" borderId="0" xfId="0" applyFont="1" applyBorder="1" applyAlignment="1">
      <alignment horizontal="center" vertical="center" wrapText="1"/>
    </xf>
    <xf numFmtId="0" fontId="41" fillId="0" borderId="0" xfId="0" applyFont="1" applyBorder="1" applyAlignment="1">
      <alignment horizontal="center" vertical="center" wrapText="1"/>
    </xf>
    <xf numFmtId="8" fontId="41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44" fontId="4" fillId="0" borderId="5" xfId="0" applyNumberFormat="1" applyFont="1" applyFill="1" applyBorder="1" applyAlignment="1">
      <alignment horizontal="center" vertical="center" wrapText="1"/>
    </xf>
    <xf numFmtId="8" fontId="4" fillId="9" borderId="11" xfId="0" applyNumberFormat="1" applyFont="1" applyFill="1" applyBorder="1" applyAlignment="1">
      <alignment horizontal="center" vertical="center" wrapText="1"/>
    </xf>
    <xf numFmtId="2" fontId="4" fillId="17" borderId="5" xfId="0" applyNumberFormat="1" applyFont="1" applyFill="1" applyBorder="1" applyAlignment="1">
      <alignment horizontal="center" vertical="center" wrapText="1"/>
    </xf>
    <xf numFmtId="2" fontId="4" fillId="17" borderId="6" xfId="0" applyNumberFormat="1" applyFont="1" applyFill="1" applyBorder="1" applyAlignment="1">
      <alignment horizontal="center" vertical="center" wrapText="1"/>
    </xf>
    <xf numFmtId="2" fontId="4" fillId="19" borderId="5" xfId="0" applyNumberFormat="1" applyFont="1" applyFill="1" applyBorder="1" applyAlignment="1">
      <alignment horizontal="center" vertical="center" wrapText="1"/>
    </xf>
    <xf numFmtId="2" fontId="4" fillId="19" borderId="6" xfId="0" applyNumberFormat="1" applyFont="1" applyFill="1" applyBorder="1" applyAlignment="1">
      <alignment horizontal="center" vertical="center" wrapText="1"/>
    </xf>
    <xf numFmtId="44" fontId="4" fillId="19" borderId="5" xfId="0" applyNumberFormat="1" applyFont="1" applyFill="1" applyBorder="1" applyAlignment="1">
      <alignment horizontal="center" vertical="center" wrapText="1"/>
    </xf>
    <xf numFmtId="44" fontId="4" fillId="19" borderId="6" xfId="0" applyNumberFormat="1" applyFont="1" applyFill="1" applyBorder="1" applyAlignment="1">
      <alignment horizontal="center" vertical="center" wrapText="1"/>
    </xf>
    <xf numFmtId="44" fontId="4" fillId="19" borderId="5" xfId="0" applyNumberFormat="1" applyFont="1" applyFill="1" applyBorder="1" applyAlignment="1">
      <alignment horizontal="center" vertical="center"/>
    </xf>
    <xf numFmtId="44" fontId="4" fillId="19" borderId="6" xfId="0" applyNumberFormat="1" applyFont="1" applyFill="1" applyBorder="1" applyAlignment="1">
      <alignment horizontal="center" vertical="center"/>
    </xf>
    <xf numFmtId="2" fontId="4" fillId="15" borderId="5" xfId="0" applyNumberFormat="1" applyFont="1" applyFill="1" applyBorder="1" applyAlignment="1">
      <alignment horizontal="center" vertical="center" wrapText="1"/>
    </xf>
    <xf numFmtId="2" fontId="4" fillId="15" borderId="10" xfId="0" applyNumberFormat="1" applyFont="1" applyFill="1" applyBorder="1" applyAlignment="1">
      <alignment horizontal="center" vertical="center" wrapText="1"/>
    </xf>
    <xf numFmtId="44" fontId="4" fillId="15" borderId="5" xfId="0" applyNumberFormat="1" applyFont="1" applyFill="1" applyBorder="1" applyAlignment="1">
      <alignment horizontal="center" vertical="center" wrapText="1"/>
    </xf>
    <xf numFmtId="44" fontId="4" fillId="15" borderId="10" xfId="0" applyNumberFormat="1" applyFont="1" applyFill="1" applyBorder="1" applyAlignment="1">
      <alignment horizontal="center" vertical="center" wrapText="1"/>
    </xf>
    <xf numFmtId="44" fontId="4" fillId="15" borderId="5" xfId="0" applyNumberFormat="1" applyFont="1" applyFill="1" applyBorder="1" applyAlignment="1">
      <alignment horizontal="center" vertical="center"/>
    </xf>
    <xf numFmtId="44" fontId="4" fillId="15" borderId="10" xfId="0" applyNumberFormat="1" applyFont="1" applyFill="1" applyBorder="1" applyAlignment="1">
      <alignment horizontal="center" vertical="center"/>
    </xf>
    <xf numFmtId="44" fontId="24" fillId="3" borderId="5" xfId="1" applyFont="1" applyFill="1" applyBorder="1" applyAlignment="1">
      <alignment horizontal="center" vertical="center" wrapText="1"/>
    </xf>
    <xf numFmtId="44" fontId="24" fillId="3" borderId="10" xfId="1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44" fontId="4" fillId="17" borderId="5" xfId="0" applyNumberFormat="1" applyFont="1" applyFill="1" applyBorder="1" applyAlignment="1">
      <alignment horizontal="center" vertical="center" wrapText="1"/>
    </xf>
    <xf numFmtId="44" fontId="4" fillId="17" borderId="6" xfId="0" applyNumberFormat="1" applyFont="1" applyFill="1" applyBorder="1" applyAlignment="1">
      <alignment horizontal="center" vertical="center" wrapText="1"/>
    </xf>
    <xf numFmtId="44" fontId="4" fillId="17" borderId="5" xfId="0" applyNumberFormat="1" applyFont="1" applyFill="1" applyBorder="1" applyAlignment="1">
      <alignment horizontal="center" vertical="center"/>
    </xf>
    <xf numFmtId="44" fontId="4" fillId="17" borderId="6" xfId="0" applyNumberFormat="1" applyFont="1" applyFill="1" applyBorder="1" applyAlignment="1">
      <alignment horizontal="center" vertical="center"/>
    </xf>
    <xf numFmtId="2" fontId="4" fillId="13" borderId="5" xfId="0" applyNumberFormat="1" applyFont="1" applyFill="1" applyBorder="1" applyAlignment="1">
      <alignment horizontal="center" vertical="center" wrapText="1"/>
    </xf>
    <xf numFmtId="2" fontId="4" fillId="13" borderId="6" xfId="0" applyNumberFormat="1" applyFont="1" applyFill="1" applyBorder="1" applyAlignment="1">
      <alignment horizontal="center" vertical="center" wrapText="1"/>
    </xf>
    <xf numFmtId="44" fontId="4" fillId="13" borderId="5" xfId="0" applyNumberFormat="1" applyFont="1" applyFill="1" applyBorder="1" applyAlignment="1">
      <alignment horizontal="center" vertical="center" wrapText="1"/>
    </xf>
    <xf numFmtId="44" fontId="4" fillId="13" borderId="6" xfId="0" applyNumberFormat="1" applyFont="1" applyFill="1" applyBorder="1" applyAlignment="1">
      <alignment horizontal="center" vertical="center" wrapText="1"/>
    </xf>
    <xf numFmtId="44" fontId="4" fillId="13" borderId="5" xfId="0" applyNumberFormat="1" applyFont="1" applyFill="1" applyBorder="1" applyAlignment="1">
      <alignment horizontal="center" vertical="center"/>
    </xf>
    <xf numFmtId="44" fontId="4" fillId="13" borderId="6" xfId="0" applyNumberFormat="1" applyFont="1" applyFill="1" applyBorder="1" applyAlignment="1">
      <alignment horizontal="center" vertical="center"/>
    </xf>
    <xf numFmtId="44" fontId="4" fillId="15" borderId="6" xfId="0" applyNumberFormat="1" applyFont="1" applyFill="1" applyBorder="1" applyAlignment="1">
      <alignment horizontal="center" vertical="center"/>
    </xf>
    <xf numFmtId="2" fontId="4" fillId="15" borderId="6" xfId="0" applyNumberFormat="1" applyFont="1" applyFill="1" applyBorder="1" applyAlignment="1">
      <alignment horizontal="center" vertical="center" wrapText="1"/>
    </xf>
    <xf numFmtId="0" fontId="24" fillId="3" borderId="11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44" fontId="24" fillId="3" borderId="11" xfId="1" applyFont="1" applyFill="1" applyBorder="1" applyAlignment="1">
      <alignment horizontal="center" vertical="center" wrapText="1"/>
    </xf>
    <xf numFmtId="44" fontId="24" fillId="3" borderId="3" xfId="1" applyFont="1" applyFill="1" applyBorder="1" applyAlignment="1">
      <alignment horizontal="center" vertical="center" wrapText="1"/>
    </xf>
    <xf numFmtId="0" fontId="24" fillId="3" borderId="56" xfId="0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 wrapText="1"/>
    </xf>
    <xf numFmtId="0" fontId="24" fillId="3" borderId="56" xfId="0" applyFont="1" applyFill="1" applyBorder="1" applyAlignment="1">
      <alignment horizontal="center" vertical="center"/>
    </xf>
    <xf numFmtId="0" fontId="24" fillId="3" borderId="57" xfId="0" applyFont="1" applyFill="1" applyBorder="1" applyAlignment="1">
      <alignment horizontal="center" vertical="center"/>
    </xf>
    <xf numFmtId="0" fontId="24" fillId="3" borderId="58" xfId="0" applyFont="1" applyFill="1" applyBorder="1" applyAlignment="1">
      <alignment horizontal="center" vertical="center"/>
    </xf>
    <xf numFmtId="0" fontId="24" fillId="3" borderId="36" xfId="0" applyFont="1" applyFill="1" applyBorder="1" applyAlignment="1">
      <alignment horizontal="center" vertical="center"/>
    </xf>
    <xf numFmtId="0" fontId="24" fillId="3" borderId="59" xfId="0" applyFont="1" applyFill="1" applyBorder="1" applyAlignment="1">
      <alignment horizontal="center" vertical="center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7" fillId="7" borderId="32" xfId="0" applyFont="1" applyFill="1" applyBorder="1" applyAlignment="1">
      <alignment horizontal="center"/>
    </xf>
    <xf numFmtId="0" fontId="6" fillId="8" borderId="60" xfId="0" applyFont="1" applyFill="1" applyBorder="1" applyAlignment="1">
      <alignment horizontal="center"/>
    </xf>
    <xf numFmtId="0" fontId="6" fillId="8" borderId="28" xfId="0" applyFont="1" applyFill="1" applyBorder="1" applyAlignment="1">
      <alignment horizontal="center"/>
    </xf>
    <xf numFmtId="0" fontId="44" fillId="4" borderId="19" xfId="0" applyFont="1" applyFill="1" applyBorder="1" applyAlignment="1">
      <alignment horizontal="center"/>
    </xf>
    <xf numFmtId="44" fontId="4" fillId="15" borderId="6" xfId="0" applyNumberFormat="1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wrapText="1"/>
    </xf>
    <xf numFmtId="0" fontId="18" fillId="6" borderId="13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center" vertical="center" wrapText="1"/>
    </xf>
    <xf numFmtId="0" fontId="18" fillId="6" borderId="0" xfId="0" applyFont="1" applyFill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 wrapText="1"/>
    </xf>
    <xf numFmtId="0" fontId="11" fillId="6" borderId="33" xfId="0" applyFont="1" applyFill="1" applyBorder="1" applyAlignment="1">
      <alignment horizontal="center" vertical="center" wrapText="1"/>
    </xf>
    <xf numFmtId="0" fontId="11" fillId="6" borderId="19" xfId="0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2" fontId="4" fillId="13" borderId="10" xfId="0" applyNumberFormat="1" applyFont="1" applyFill="1" applyBorder="1" applyAlignment="1">
      <alignment horizontal="center" vertical="center" wrapText="1"/>
    </xf>
    <xf numFmtId="44" fontId="4" fillId="13" borderId="10" xfId="0" applyNumberFormat="1" applyFont="1" applyFill="1" applyBorder="1" applyAlignment="1">
      <alignment horizontal="center" vertical="center" wrapText="1"/>
    </xf>
    <xf numFmtId="44" fontId="4" fillId="13" borderId="10" xfId="0" applyNumberFormat="1" applyFont="1" applyFill="1" applyBorder="1" applyAlignment="1">
      <alignment horizontal="center" vertical="center"/>
    </xf>
    <xf numFmtId="0" fontId="24" fillId="3" borderId="6" xfId="0" applyFont="1" applyFill="1" applyBorder="1" applyAlignment="1">
      <alignment horizontal="center" vertical="center" wrapText="1"/>
    </xf>
    <xf numFmtId="0" fontId="24" fillId="3" borderId="9" xfId="0" applyFont="1" applyFill="1" applyBorder="1" applyAlignment="1">
      <alignment horizontal="center" vertical="center" wrapText="1"/>
    </xf>
    <xf numFmtId="0" fontId="24" fillId="3" borderId="0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 wrapText="1"/>
    </xf>
    <xf numFmtId="0" fontId="26" fillId="3" borderId="59" xfId="0" applyFont="1" applyFill="1" applyBorder="1" applyAlignment="1">
      <alignment horizontal="center" vertical="center" wrapText="1"/>
    </xf>
    <xf numFmtId="0" fontId="26" fillId="3" borderId="21" xfId="0" applyFont="1" applyFill="1" applyBorder="1" applyAlignment="1">
      <alignment horizontal="center" vertical="center" wrapText="1"/>
    </xf>
    <xf numFmtId="0" fontId="26" fillId="3" borderId="31" xfId="0" applyFont="1" applyFill="1" applyBorder="1" applyAlignment="1">
      <alignment horizontal="center" vertical="center" wrapText="1"/>
    </xf>
    <xf numFmtId="0" fontId="24" fillId="3" borderId="40" xfId="0" applyFont="1" applyFill="1" applyBorder="1" applyAlignment="1">
      <alignment horizontal="center" vertical="center" wrapText="1"/>
    </xf>
    <xf numFmtId="0" fontId="24" fillId="3" borderId="8" xfId="0" applyFont="1" applyFill="1" applyBorder="1" applyAlignment="1">
      <alignment horizontal="center" vertical="center" wrapText="1"/>
    </xf>
    <xf numFmtId="0" fontId="24" fillId="3" borderId="11" xfId="0" applyFont="1" applyFill="1" applyBorder="1" applyAlignment="1">
      <alignment horizontal="center" vertical="center"/>
    </xf>
    <xf numFmtId="0" fontId="24" fillId="3" borderId="3" xfId="0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/>
    </xf>
    <xf numFmtId="0" fontId="24" fillId="3" borderId="10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44" fillId="4" borderId="30" xfId="0" applyFont="1" applyFill="1" applyBorder="1" applyAlignment="1">
      <alignment horizontal="center"/>
    </xf>
    <xf numFmtId="0" fontId="4" fillId="15" borderId="6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44" fillId="4" borderId="30" xfId="0" applyFont="1" applyFill="1" applyBorder="1" applyAlignment="1">
      <alignment horizontal="center" wrapText="1"/>
    </xf>
    <xf numFmtId="0" fontId="44" fillId="4" borderId="19" xfId="0" applyFont="1" applyFill="1" applyBorder="1" applyAlignment="1">
      <alignment horizontal="center" wrapText="1"/>
    </xf>
    <xf numFmtId="0" fontId="24" fillId="3" borderId="61" xfId="0" applyFont="1" applyFill="1" applyBorder="1" applyAlignment="1">
      <alignment horizontal="center" vertical="center" wrapText="1"/>
    </xf>
    <xf numFmtId="0" fontId="24" fillId="3" borderId="62" xfId="0" applyFont="1" applyFill="1" applyBorder="1" applyAlignment="1">
      <alignment horizontal="center" vertical="center" wrapText="1"/>
    </xf>
    <xf numFmtId="0" fontId="24" fillId="3" borderId="63" xfId="0" applyFont="1" applyFill="1" applyBorder="1" applyAlignment="1">
      <alignment horizontal="center" vertical="center" wrapText="1"/>
    </xf>
    <xf numFmtId="0" fontId="6" fillId="8" borderId="64" xfId="0" applyFont="1" applyFill="1" applyBorder="1" applyAlignment="1">
      <alignment horizontal="center"/>
    </xf>
    <xf numFmtId="0" fontId="6" fillId="8" borderId="0" xfId="0" applyFont="1" applyFill="1" applyBorder="1" applyAlignment="1">
      <alignment horizontal="center"/>
    </xf>
    <xf numFmtId="0" fontId="44" fillId="4" borderId="59" xfId="0" applyFont="1" applyFill="1" applyBorder="1" applyAlignment="1">
      <alignment horizontal="left" wrapText="1"/>
    </xf>
    <xf numFmtId="0" fontId="44" fillId="4" borderId="21" xfId="0" applyFont="1" applyFill="1" applyBorder="1" applyAlignment="1">
      <alignment horizontal="left" wrapText="1"/>
    </xf>
    <xf numFmtId="44" fontId="4" fillId="15" borderId="5" xfId="1" applyFont="1" applyFill="1" applyBorder="1" applyAlignment="1">
      <alignment horizontal="center" vertical="center"/>
    </xf>
    <xf numFmtId="44" fontId="4" fillId="15" borderId="10" xfId="1" applyFont="1" applyFill="1" applyBorder="1" applyAlignment="1">
      <alignment horizontal="center" vertical="center"/>
    </xf>
    <xf numFmtId="44" fontId="4" fillId="17" borderId="5" xfId="1" applyFont="1" applyFill="1" applyBorder="1" applyAlignment="1">
      <alignment horizontal="center" vertical="center"/>
    </xf>
    <xf numFmtId="44" fontId="4" fillId="17" borderId="6" xfId="1" applyFont="1" applyFill="1" applyBorder="1" applyAlignment="1">
      <alignment horizontal="center" vertical="center"/>
    </xf>
    <xf numFmtId="44" fontId="4" fillId="17" borderId="5" xfId="1" applyFont="1" applyFill="1" applyBorder="1" applyAlignment="1">
      <alignment horizontal="center" vertical="center" wrapText="1"/>
    </xf>
    <xf numFmtId="44" fontId="4" fillId="17" borderId="6" xfId="1" applyFont="1" applyFill="1" applyBorder="1" applyAlignment="1">
      <alignment horizontal="center" vertical="center" wrapText="1"/>
    </xf>
    <xf numFmtId="44" fontId="4" fillId="13" borderId="5" xfId="1" applyFont="1" applyFill="1" applyBorder="1" applyAlignment="1">
      <alignment horizontal="center" vertical="center" wrapText="1"/>
    </xf>
    <xf numFmtId="44" fontId="4" fillId="13" borderId="10" xfId="1" applyFont="1" applyFill="1" applyBorder="1" applyAlignment="1">
      <alignment horizontal="center" vertical="center" wrapText="1"/>
    </xf>
    <xf numFmtId="44" fontId="4" fillId="13" borderId="5" xfId="1" applyFont="1" applyFill="1" applyBorder="1" applyAlignment="1">
      <alignment horizontal="center" vertical="center"/>
    </xf>
    <xf numFmtId="44" fontId="4" fillId="13" borderId="6" xfId="1" applyFont="1" applyFill="1" applyBorder="1" applyAlignment="1">
      <alignment horizontal="center" vertical="center"/>
    </xf>
    <xf numFmtId="44" fontId="4" fillId="15" borderId="5" xfId="1" applyFont="1" applyFill="1" applyBorder="1" applyAlignment="1">
      <alignment horizontal="center" vertical="center" wrapText="1"/>
    </xf>
    <xf numFmtId="44" fontId="4" fillId="15" borderId="10" xfId="1" applyFont="1" applyFill="1" applyBorder="1" applyAlignment="1">
      <alignment horizontal="center" vertical="center" wrapText="1"/>
    </xf>
    <xf numFmtId="44" fontId="4" fillId="13" borderId="6" xfId="1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41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6" fillId="8" borderId="52" xfId="0" applyFont="1" applyFill="1" applyBorder="1" applyAlignment="1">
      <alignment horizontal="center"/>
    </xf>
    <xf numFmtId="0" fontId="45" fillId="4" borderId="12" xfId="0" applyFont="1" applyFill="1" applyBorder="1" applyAlignment="1">
      <alignment horizontal="left"/>
    </xf>
    <xf numFmtId="0" fontId="45" fillId="4" borderId="13" xfId="0" applyFont="1" applyFill="1" applyBorder="1" applyAlignment="1">
      <alignment horizontal="left"/>
    </xf>
    <xf numFmtId="0" fontId="24" fillId="3" borderId="2" xfId="0" applyFont="1" applyFill="1" applyBorder="1" applyAlignment="1">
      <alignment horizontal="center" vertical="center"/>
    </xf>
    <xf numFmtId="44" fontId="24" fillId="3" borderId="6" xfId="1" applyFont="1" applyFill="1" applyBorder="1" applyAlignment="1">
      <alignment horizontal="center" vertical="center" wrapText="1"/>
    </xf>
    <xf numFmtId="0" fontId="44" fillId="4" borderId="59" xfId="0" applyFont="1" applyFill="1" applyBorder="1" applyAlignment="1">
      <alignment horizontal="right"/>
    </xf>
    <xf numFmtId="0" fontId="44" fillId="4" borderId="21" xfId="0" applyFont="1" applyFill="1" applyBorder="1" applyAlignment="1">
      <alignment horizontal="right"/>
    </xf>
    <xf numFmtId="44" fontId="24" fillId="3" borderId="2" xfId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7" xfId="0" applyFont="1" applyFill="1" applyBorder="1" applyAlignment="1">
      <alignment horizontal="center" vertical="center" wrapText="1"/>
    </xf>
    <xf numFmtId="44" fontId="4" fillId="13" borderId="10" xfId="1" applyFont="1" applyFill="1" applyBorder="1" applyAlignment="1">
      <alignment horizontal="center" vertical="center"/>
    </xf>
    <xf numFmtId="0" fontId="6" fillId="8" borderId="65" xfId="0" applyFont="1" applyFill="1" applyBorder="1" applyAlignment="1">
      <alignment horizontal="center"/>
    </xf>
    <xf numFmtId="0" fontId="6" fillId="8" borderId="19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44" fontId="21" fillId="0" borderId="22" xfId="1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wrapText="1"/>
    </xf>
    <xf numFmtId="0" fontId="41" fillId="0" borderId="59" xfId="0" applyFont="1" applyBorder="1" applyAlignment="1">
      <alignment horizontal="center" vertical="center" wrapText="1"/>
    </xf>
    <xf numFmtId="0" fontId="41" fillId="0" borderId="21" xfId="0" applyFont="1" applyBorder="1" applyAlignment="1">
      <alignment horizontal="center" vertical="center" wrapText="1"/>
    </xf>
    <xf numFmtId="0" fontId="41" fillId="0" borderId="31" xfId="0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5" fillId="0" borderId="5" xfId="0" applyFont="1" applyBorder="1" applyAlignment="1">
      <alignment horizontal="justify" vertical="center" wrapText="1"/>
    </xf>
    <xf numFmtId="0" fontId="35" fillId="0" borderId="6" xfId="0" applyFont="1" applyBorder="1" applyAlignment="1">
      <alignment horizontal="justify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44" fontId="22" fillId="0" borderId="22" xfId="1" applyFont="1" applyBorder="1" applyAlignment="1">
      <alignment horizontal="center" vertical="center" wrapText="1"/>
    </xf>
    <xf numFmtId="44" fontId="22" fillId="0" borderId="53" xfId="1" applyFont="1" applyBorder="1" applyAlignment="1">
      <alignment horizontal="center" wrapText="1"/>
    </xf>
    <xf numFmtId="44" fontId="22" fillId="0" borderId="66" xfId="1" applyFont="1" applyBorder="1" applyAlignment="1">
      <alignment horizontal="center" wrapText="1"/>
    </xf>
    <xf numFmtId="0" fontId="22" fillId="0" borderId="53" xfId="0" applyFont="1" applyBorder="1" applyAlignment="1">
      <alignment horizontal="center" wrapText="1"/>
    </xf>
    <xf numFmtId="0" fontId="22" fillId="0" borderId="66" xfId="0" applyFont="1" applyBorder="1" applyAlignment="1">
      <alignment horizontal="center" wrapText="1"/>
    </xf>
    <xf numFmtId="0" fontId="39" fillId="0" borderId="5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41" fillId="0" borderId="0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colors>
    <mruColors>
      <color rgb="FFCCECFF"/>
      <color rgb="FFCC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1885950</xdr:colOff>
      <xdr:row>4</xdr:row>
      <xdr:rowOff>28575</xdr:rowOff>
    </xdr:to>
    <xdr:pic>
      <xdr:nvPicPr>
        <xdr:cNvPr id="5531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384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1847850</xdr:colOff>
      <xdr:row>4</xdr:row>
      <xdr:rowOff>47625</xdr:rowOff>
    </xdr:to>
    <xdr:pic>
      <xdr:nvPicPr>
        <xdr:cNvPr id="4796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5622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1876425</xdr:colOff>
      <xdr:row>4</xdr:row>
      <xdr:rowOff>38100</xdr:rowOff>
    </xdr:to>
    <xdr:pic>
      <xdr:nvPicPr>
        <xdr:cNvPr id="4797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1847850</xdr:colOff>
      <xdr:row>4</xdr:row>
      <xdr:rowOff>47625</xdr:rowOff>
    </xdr:to>
    <xdr:pic>
      <xdr:nvPicPr>
        <xdr:cNvPr id="6843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5622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1876425</xdr:colOff>
      <xdr:row>4</xdr:row>
      <xdr:rowOff>38100</xdr:rowOff>
    </xdr:to>
    <xdr:pic>
      <xdr:nvPicPr>
        <xdr:cNvPr id="6844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2028825</xdr:colOff>
      <xdr:row>4</xdr:row>
      <xdr:rowOff>47625</xdr:rowOff>
    </xdr:to>
    <xdr:pic>
      <xdr:nvPicPr>
        <xdr:cNvPr id="7854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5527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2066925</xdr:colOff>
      <xdr:row>4</xdr:row>
      <xdr:rowOff>38100</xdr:rowOff>
    </xdr:to>
    <xdr:pic>
      <xdr:nvPicPr>
        <xdr:cNvPr id="7855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1838325</xdr:colOff>
      <xdr:row>4</xdr:row>
      <xdr:rowOff>47625</xdr:rowOff>
    </xdr:to>
    <xdr:pic>
      <xdr:nvPicPr>
        <xdr:cNvPr id="8686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5431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1885950</xdr:colOff>
      <xdr:row>4</xdr:row>
      <xdr:rowOff>28575</xdr:rowOff>
    </xdr:to>
    <xdr:pic>
      <xdr:nvPicPr>
        <xdr:cNvPr id="8687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33"/>
  <sheetViews>
    <sheetView tabSelected="1" zoomScale="66" zoomScaleNormal="66" zoomScaleSheetLayoutView="66" workbookViewId="0">
      <selection activeCell="B11" sqref="B11"/>
    </sheetView>
  </sheetViews>
  <sheetFormatPr baseColWidth="10" defaultRowHeight="12.75" x14ac:dyDescent="0.2"/>
  <cols>
    <col min="1" max="1" width="11.28515625" customWidth="1"/>
    <col min="2" max="2" width="51.42578125" bestFit="1" customWidth="1"/>
    <col min="3" max="3" width="10.140625" customWidth="1"/>
    <col min="4" max="4" width="11.7109375" customWidth="1"/>
    <col min="5" max="5" width="13" hidden="1" customWidth="1"/>
    <col min="6" max="6" width="11.42578125" hidden="1" customWidth="1"/>
    <col min="7" max="7" width="13.5703125" hidden="1" customWidth="1"/>
    <col min="9" max="9" width="14" customWidth="1"/>
    <col min="10" max="10" width="17.7109375" customWidth="1"/>
    <col min="11" max="11" width="16.42578125" customWidth="1"/>
    <col min="12" max="12" width="17.28515625" customWidth="1"/>
    <col min="13" max="13" width="17.7109375" customWidth="1"/>
    <col min="14" max="14" width="17" customWidth="1"/>
    <col min="15" max="15" width="18.85546875" customWidth="1"/>
    <col min="16" max="17" width="14.140625" customWidth="1"/>
    <col min="18" max="18" width="13.85546875" hidden="1" customWidth="1"/>
    <col min="19" max="19" width="15.28515625" hidden="1" customWidth="1"/>
    <col min="20" max="20" width="15" customWidth="1"/>
    <col min="21" max="21" width="14.28515625" customWidth="1"/>
    <col min="22" max="22" width="13.140625" customWidth="1"/>
    <col min="23" max="23" width="13.7109375" customWidth="1"/>
    <col min="24" max="24" width="12.7109375" customWidth="1"/>
    <col min="25" max="25" width="13.85546875" customWidth="1"/>
    <col min="26" max="26" width="15.42578125" customWidth="1"/>
    <col min="27" max="27" width="14.85546875" customWidth="1"/>
    <col min="28" max="28" width="15.28515625" customWidth="1"/>
    <col min="29" max="29" width="16.140625" customWidth="1"/>
    <col min="30" max="30" width="15.42578125" customWidth="1"/>
    <col min="31" max="31" width="16.28515625" customWidth="1"/>
    <col min="32" max="32" width="16.7109375" customWidth="1"/>
    <col min="33" max="34" width="15.140625" customWidth="1"/>
    <col min="35" max="35" width="13" customWidth="1"/>
    <col min="36" max="36" width="11.85546875" bestFit="1" customWidth="1"/>
    <col min="37" max="37" width="13.28515625" bestFit="1" customWidth="1"/>
    <col min="38" max="38" width="15.28515625" bestFit="1" customWidth="1"/>
  </cols>
  <sheetData>
    <row r="1" spans="1:41" s="1" customFormat="1" x14ac:dyDescent="0.2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</row>
    <row r="2" spans="1:41" s="1" customFormat="1" x14ac:dyDescent="0.2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</row>
    <row r="3" spans="1:41" s="1" customFormat="1" x14ac:dyDescent="0.2">
      <c r="A3" s="10"/>
      <c r="C3" s="13"/>
      <c r="D3" s="13"/>
      <c r="E3" s="13"/>
      <c r="F3" s="13"/>
      <c r="G3" s="13"/>
      <c r="H3" s="13"/>
      <c r="I3" s="13"/>
      <c r="J3" s="13"/>
      <c r="K3" s="664" t="s">
        <v>82</v>
      </c>
      <c r="L3" s="664"/>
      <c r="M3" s="664"/>
      <c r="N3" s="664"/>
      <c r="O3" s="664"/>
      <c r="P3" s="664"/>
      <c r="Q3" s="664"/>
      <c r="R3" s="664"/>
      <c r="S3" s="664"/>
      <c r="T3" s="664"/>
      <c r="U3" s="664"/>
      <c r="V3" s="664"/>
      <c r="W3" s="664"/>
      <c r="X3" s="664"/>
      <c r="Y3" s="664"/>
      <c r="Z3" s="664"/>
      <c r="AA3" s="664"/>
      <c r="AB3" s="13"/>
      <c r="AC3" s="13"/>
      <c r="AD3" s="13"/>
      <c r="AE3" s="13"/>
      <c r="AF3" s="13"/>
      <c r="AG3" s="13"/>
      <c r="AH3" s="13"/>
      <c r="AI3" s="13"/>
      <c r="AJ3" s="13"/>
      <c r="AK3" s="13"/>
    </row>
    <row r="4" spans="1:41" s="1" customFormat="1" x14ac:dyDescent="0.2">
      <c r="A4" s="10"/>
      <c r="C4" s="13"/>
      <c r="D4" s="13"/>
      <c r="E4" s="13"/>
      <c r="F4" s="13"/>
      <c r="G4" s="13"/>
      <c r="H4" s="13"/>
      <c r="I4" s="13"/>
      <c r="J4" s="13"/>
      <c r="K4" s="664"/>
      <c r="L4" s="664"/>
      <c r="M4" s="664"/>
      <c r="N4" s="664"/>
      <c r="O4" s="664"/>
      <c r="P4" s="664"/>
      <c r="Q4" s="664"/>
      <c r="R4" s="664"/>
      <c r="S4" s="664"/>
      <c r="T4" s="664"/>
      <c r="U4" s="664"/>
      <c r="V4" s="664"/>
      <c r="W4" s="664"/>
      <c r="X4" s="664"/>
      <c r="Y4" s="664"/>
      <c r="Z4" s="664"/>
      <c r="AA4" s="664"/>
      <c r="AB4" s="13"/>
      <c r="AC4" s="13"/>
      <c r="AD4" s="13"/>
      <c r="AE4" s="13"/>
      <c r="AF4" s="13"/>
      <c r="AG4" s="13"/>
      <c r="AH4" s="13"/>
      <c r="AI4" s="13"/>
      <c r="AJ4" s="13"/>
      <c r="AK4" s="13"/>
    </row>
    <row r="5" spans="1:41" s="1" customFormat="1" x14ac:dyDescent="0.2">
      <c r="A5" s="10"/>
      <c r="C5" s="13"/>
      <c r="D5" s="13"/>
      <c r="E5" s="13"/>
      <c r="F5" s="13"/>
      <c r="G5" s="13"/>
      <c r="H5" s="13"/>
      <c r="I5" s="13"/>
      <c r="J5" s="13"/>
      <c r="K5" s="664"/>
      <c r="L5" s="664"/>
      <c r="M5" s="664"/>
      <c r="N5" s="664"/>
      <c r="O5" s="664"/>
      <c r="P5" s="664"/>
      <c r="Q5" s="664"/>
      <c r="R5" s="664"/>
      <c r="S5" s="664"/>
      <c r="T5" s="664"/>
      <c r="U5" s="664"/>
      <c r="V5" s="664"/>
      <c r="W5" s="664"/>
      <c r="X5" s="664"/>
      <c r="Y5" s="664"/>
      <c r="Z5" s="664"/>
      <c r="AA5" s="664"/>
      <c r="AB5" s="13"/>
      <c r="AC5" s="13"/>
      <c r="AD5" s="13"/>
      <c r="AE5" s="13"/>
      <c r="AF5" s="13"/>
      <c r="AG5" s="13"/>
      <c r="AH5" s="13"/>
      <c r="AI5" s="13"/>
      <c r="AJ5" s="13"/>
      <c r="AK5" s="13"/>
    </row>
    <row r="6" spans="1:41" s="1" customFormat="1" ht="27.75" x14ac:dyDescent="0.4">
      <c r="A6" s="659" t="s">
        <v>198</v>
      </c>
      <c r="B6" s="659"/>
      <c r="C6" s="659"/>
      <c r="D6" s="659"/>
      <c r="E6" s="659"/>
      <c r="F6" s="659"/>
      <c r="G6" s="659"/>
      <c r="H6" s="659"/>
      <c r="I6" s="659"/>
      <c r="J6" s="659"/>
      <c r="K6" s="659"/>
      <c r="L6" s="659"/>
      <c r="M6" s="659"/>
      <c r="N6" s="659"/>
      <c r="O6" s="659"/>
      <c r="P6" s="659"/>
      <c r="Q6" s="659"/>
      <c r="R6" s="659"/>
      <c r="S6" s="659"/>
      <c r="T6" s="659"/>
      <c r="U6" s="659"/>
      <c r="V6" s="659"/>
      <c r="W6" s="659"/>
      <c r="X6" s="659"/>
      <c r="Y6" s="659"/>
      <c r="Z6" s="659"/>
      <c r="AA6" s="659"/>
      <c r="AB6" s="659"/>
      <c r="AC6" s="659"/>
      <c r="AD6" s="659"/>
      <c r="AE6" s="659"/>
      <c r="AF6" s="659"/>
      <c r="AG6" s="659"/>
      <c r="AH6" s="659"/>
      <c r="AI6" s="13"/>
      <c r="AJ6" s="13"/>
      <c r="AK6" s="13"/>
    </row>
    <row r="7" spans="1:41" s="1" customFormat="1" ht="18.75" thickBot="1" x14ac:dyDescent="0.3">
      <c r="A7" s="660" t="s">
        <v>83</v>
      </c>
      <c r="B7" s="661"/>
      <c r="C7" s="661"/>
      <c r="D7" s="661"/>
      <c r="E7" s="661"/>
      <c r="F7" s="661"/>
      <c r="G7" s="661"/>
      <c r="H7" s="661"/>
      <c r="I7" s="661"/>
      <c r="J7" s="661"/>
      <c r="K7" s="661"/>
      <c r="L7" s="661"/>
      <c r="M7" s="661"/>
      <c r="N7" s="661"/>
      <c r="O7" s="661"/>
      <c r="P7" s="661"/>
      <c r="Q7" s="661"/>
      <c r="R7" s="661"/>
      <c r="S7" s="661"/>
      <c r="T7" s="661"/>
      <c r="U7" s="661"/>
      <c r="V7" s="661"/>
      <c r="W7" s="661"/>
      <c r="X7" s="661"/>
      <c r="Y7" s="661"/>
      <c r="Z7" s="661"/>
      <c r="AA7" s="661"/>
      <c r="AB7" s="661"/>
      <c r="AC7" s="661"/>
      <c r="AD7" s="661"/>
      <c r="AE7" s="661"/>
      <c r="AF7" s="661"/>
      <c r="AG7" s="661"/>
      <c r="AH7" s="661"/>
      <c r="AI7" s="13"/>
      <c r="AJ7" s="13"/>
      <c r="AK7" s="13"/>
    </row>
    <row r="8" spans="1:41" ht="21" thickBot="1" x14ac:dyDescent="0.35">
      <c r="A8" s="95" t="s">
        <v>123</v>
      </c>
      <c r="B8" s="96"/>
      <c r="C8" s="96"/>
      <c r="D8" s="96"/>
      <c r="E8" s="96"/>
      <c r="F8" s="96"/>
      <c r="G8" s="133"/>
      <c r="H8" s="133"/>
      <c r="I8" s="133"/>
      <c r="J8" s="133"/>
      <c r="K8" s="133"/>
      <c r="L8" s="133"/>
      <c r="M8" s="133"/>
      <c r="N8" s="133"/>
      <c r="O8" s="133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662" t="s">
        <v>138</v>
      </c>
      <c r="AC8" s="662"/>
      <c r="AD8" s="662"/>
      <c r="AE8" s="662"/>
      <c r="AF8" s="662"/>
      <c r="AG8" s="662"/>
      <c r="AH8" s="662"/>
      <c r="AJ8" s="577">
        <v>0.23499999999999999</v>
      </c>
    </row>
    <row r="9" spans="1:41" s="2" customFormat="1" ht="21.75" customHeight="1" thickBot="1" x14ac:dyDescent="0.25">
      <c r="A9" s="645" t="s">
        <v>1</v>
      </c>
      <c r="B9" s="645" t="s">
        <v>0</v>
      </c>
      <c r="C9" s="629" t="s">
        <v>77</v>
      </c>
      <c r="D9" s="629" t="s">
        <v>119</v>
      </c>
      <c r="E9" s="629" t="s">
        <v>127</v>
      </c>
      <c r="F9" s="629" t="s">
        <v>113</v>
      </c>
      <c r="G9" s="629" t="s">
        <v>124</v>
      </c>
      <c r="H9" s="629" t="s">
        <v>79</v>
      </c>
      <c r="I9" s="629" t="s">
        <v>148</v>
      </c>
      <c r="J9" s="627" t="s">
        <v>147</v>
      </c>
      <c r="K9" s="627" t="s">
        <v>121</v>
      </c>
      <c r="L9" s="627" t="s">
        <v>146</v>
      </c>
      <c r="M9" s="627" t="s">
        <v>147</v>
      </c>
      <c r="N9" s="645" t="s">
        <v>85</v>
      </c>
      <c r="O9" s="645" t="s">
        <v>120</v>
      </c>
      <c r="P9" s="647" t="s">
        <v>86</v>
      </c>
      <c r="Q9" s="645" t="s">
        <v>101</v>
      </c>
      <c r="R9" s="645" t="s">
        <v>125</v>
      </c>
      <c r="S9" s="629" t="s">
        <v>192</v>
      </c>
      <c r="T9" s="645" t="s">
        <v>69</v>
      </c>
      <c r="U9" s="651" t="s">
        <v>59</v>
      </c>
      <c r="V9" s="651"/>
      <c r="W9" s="651"/>
      <c r="X9" s="651"/>
      <c r="Y9" s="631"/>
      <c r="Z9" s="631" t="s">
        <v>68</v>
      </c>
      <c r="AA9" s="629" t="s">
        <v>89</v>
      </c>
      <c r="AB9" s="629" t="s">
        <v>88</v>
      </c>
      <c r="AC9" s="629" t="s">
        <v>87</v>
      </c>
      <c r="AD9" s="629" t="s">
        <v>91</v>
      </c>
      <c r="AE9" s="629" t="s">
        <v>90</v>
      </c>
      <c r="AF9" s="629" t="s">
        <v>196</v>
      </c>
      <c r="AG9" s="673" t="s">
        <v>175</v>
      </c>
      <c r="AH9" s="629" t="s">
        <v>92</v>
      </c>
      <c r="AI9" s="629" t="s">
        <v>192</v>
      </c>
      <c r="AJ9" s="631" t="s">
        <v>68</v>
      </c>
      <c r="AK9" s="629" t="s">
        <v>194</v>
      </c>
      <c r="AL9" s="629" t="s">
        <v>195</v>
      </c>
    </row>
    <row r="10" spans="1:41" s="2" customFormat="1" ht="90.75" customHeight="1" thickBot="1" x14ac:dyDescent="0.25">
      <c r="A10" s="646"/>
      <c r="B10" s="646"/>
      <c r="C10" s="630"/>
      <c r="D10" s="630"/>
      <c r="E10" s="630"/>
      <c r="F10" s="630"/>
      <c r="G10" s="630"/>
      <c r="H10" s="630"/>
      <c r="I10" s="630"/>
      <c r="J10" s="628"/>
      <c r="K10" s="628"/>
      <c r="L10" s="628"/>
      <c r="M10" s="628"/>
      <c r="N10" s="646"/>
      <c r="O10" s="646"/>
      <c r="P10" s="648"/>
      <c r="Q10" s="646"/>
      <c r="R10" s="646"/>
      <c r="S10" s="630"/>
      <c r="T10" s="646"/>
      <c r="U10" s="78" t="s">
        <v>141</v>
      </c>
      <c r="V10" s="78" t="s">
        <v>61</v>
      </c>
      <c r="W10" s="78" t="s">
        <v>62</v>
      </c>
      <c r="X10" s="78" t="s">
        <v>63</v>
      </c>
      <c r="Y10" s="78" t="s">
        <v>64</v>
      </c>
      <c r="Z10" s="632"/>
      <c r="AA10" s="630"/>
      <c r="AB10" s="630"/>
      <c r="AC10" s="630"/>
      <c r="AD10" s="630"/>
      <c r="AE10" s="630"/>
      <c r="AF10" s="630"/>
      <c r="AG10" s="630"/>
      <c r="AH10" s="630"/>
      <c r="AI10" s="630"/>
      <c r="AJ10" s="632"/>
      <c r="AK10" s="630"/>
      <c r="AL10" s="630"/>
    </row>
    <row r="11" spans="1:41" s="1" customFormat="1" ht="24.75" customHeight="1" x14ac:dyDescent="0.2">
      <c r="A11" s="338">
        <v>528</v>
      </c>
      <c r="B11" s="339" t="s">
        <v>2</v>
      </c>
      <c r="C11" s="340">
        <v>0</v>
      </c>
      <c r="D11" s="340"/>
      <c r="E11" s="341"/>
      <c r="F11" s="342"/>
      <c r="G11" s="343">
        <v>1783</v>
      </c>
      <c r="H11" s="340">
        <f t="shared" ref="H11:H21" si="0">SUM(G11:G11)</f>
        <v>1783</v>
      </c>
      <c r="I11" s="340"/>
      <c r="J11" s="344"/>
      <c r="K11" s="345">
        <f>H11*'DATOS REFERENCIALES'!$C$4</f>
        <v>11457.558000000001</v>
      </c>
      <c r="L11" s="345"/>
      <c r="M11" s="345"/>
      <c r="N11" s="346">
        <f>LOOKUP(C11,'TABLA ANTIG.'!$A$4:$A$39,'TABLA ANTIG.'!$B$4:$B$39)*(K11)</f>
        <v>0</v>
      </c>
      <c r="O11" s="347">
        <f>(K11)*0.1</f>
        <v>1145.7558000000001</v>
      </c>
      <c r="P11" s="345">
        <f>'DATOS REFERENCIALES'!$C$8</f>
        <v>4275</v>
      </c>
      <c r="Q11" s="348">
        <f>LOOKUP(C11,'TABLA ANTIG.'!$A$4:$A$39,'TABLA ANTIG.'!$B$4:$B$39)*(P11)</f>
        <v>0</v>
      </c>
      <c r="R11" s="349">
        <v>0</v>
      </c>
      <c r="S11" s="347">
        <f>'DATOS REFERENCIALES'!$C$14</f>
        <v>0</v>
      </c>
      <c r="T11" s="347">
        <f>K11+L11+M11+N11+O11+P11+Q11+R11+S11</f>
        <v>16878.313800000004</v>
      </c>
      <c r="U11" s="350">
        <f t="shared" ref="U11:U21" si="1">$T11*11%</f>
        <v>1856.6145180000003</v>
      </c>
      <c r="V11" s="347">
        <f t="shared" ref="V11:W21" si="2">$T11*3%</f>
        <v>506.34941400000008</v>
      </c>
      <c r="W11" s="350">
        <f t="shared" si="2"/>
        <v>506.34941400000008</v>
      </c>
      <c r="X11" s="347">
        <f>$T11*2%</f>
        <v>337.56627600000007</v>
      </c>
      <c r="Y11" s="347">
        <f t="shared" ref="Y11:Y21" si="3">$T11*4.5%</f>
        <v>759.52412100000015</v>
      </c>
      <c r="Z11" s="347">
        <f t="shared" ref="Z11:Z21" si="4">SUM(U11:Y11)</f>
        <v>3966.4037430000008</v>
      </c>
      <c r="AA11" s="351">
        <f t="shared" ref="AA11:AA21" si="5">T11-Z11</f>
        <v>12911.910057000003</v>
      </c>
      <c r="AB11" s="347">
        <f>'DATOS REFERENCIALES'!$C$10</f>
        <v>1520</v>
      </c>
      <c r="AC11" s="347">
        <f>IF((IF(H11&gt;1119,('DATOS REFERENCIALES'!$C$9-(T11-U11-V11-W11-X11-Y11+AB11-(S11-S11*0.235))),(('DATOS REFERENCIALES'!$C$9/1120)*H11)-(K11+N11+O11+P11+Q11+R11-U11-V11-W11-X11-Y11+AB11-(S11*0.235))))&lt;0,0,IF(H11&gt;1119,(('DATOS REFERENCIALES'!$C$9)-(T11-U11-V11-W11-X11-Y11+AB11-(S11-S11*0.235))),(('DATOS REFERENCIALES'!$C$9/1120)*H11)-(K11+N11+O11+P11+Q11+R11-U11-V11-W11-X11-Y11+AB11-(S11*0.235))))</f>
        <v>2718.0899429999972</v>
      </c>
      <c r="AD11" s="346">
        <f t="shared" ref="AD11:AD21" si="6">SUM(AA11:AC11)</f>
        <v>17150</v>
      </c>
      <c r="AE11" s="352">
        <f>'DATOS REFERENCIALES'!$C$13</f>
        <v>1210</v>
      </c>
      <c r="AF11" s="352">
        <f>IF($H11&gt;1119,'DATOS REFERENCIALES'!C17,'DATOS REFERENCIALES'!C17/1120*$H11)</f>
        <v>1500</v>
      </c>
      <c r="AG11" s="347">
        <f>'DATOS REFERENCIALES'!$C$12</f>
        <v>210</v>
      </c>
      <c r="AH11" s="633">
        <f>SUM(AD11:AG11)+SUM(AD12:AG12)</f>
        <v>21371.634270089999</v>
      </c>
      <c r="AI11" s="613">
        <f>'DATOS REFERENCIALES'!C16</f>
        <v>772</v>
      </c>
      <c r="AJ11" s="633">
        <f>AI11*$AJ$8</f>
        <v>181.42</v>
      </c>
      <c r="AK11" s="633">
        <f>AI11-AJ11</f>
        <v>590.58000000000004</v>
      </c>
      <c r="AL11" s="635">
        <f>AH11+AK11</f>
        <v>21962.21427009</v>
      </c>
      <c r="AM11" s="665" t="s">
        <v>93</v>
      </c>
      <c r="AN11" s="666"/>
      <c r="AO11" s="667"/>
    </row>
    <row r="12" spans="1:41" s="1" customFormat="1" ht="24" customHeight="1" thickBot="1" x14ac:dyDescent="0.25">
      <c r="A12" s="353">
        <v>528</v>
      </c>
      <c r="B12" s="354" t="s">
        <v>2</v>
      </c>
      <c r="C12" s="512">
        <f>IF(C11&gt;0,C11,0)</f>
        <v>0</v>
      </c>
      <c r="D12" s="355"/>
      <c r="E12" s="356"/>
      <c r="F12" s="357"/>
      <c r="G12" s="358">
        <v>1783</v>
      </c>
      <c r="H12" s="355"/>
      <c r="I12" s="355">
        <v>133.72999999999999</v>
      </c>
      <c r="J12" s="359" t="s">
        <v>150</v>
      </c>
      <c r="K12" s="359"/>
      <c r="L12" s="360">
        <f>I12*'DATOS REFERENCIALES'!$C$4</f>
        <v>859.34897999999998</v>
      </c>
      <c r="M12" s="360">
        <f>IF(J12='DATOS REFERENCIALES'!$C$30,INICIAL!K11*'DATOS REFERENCIALES'!$D$30,IF(J12='DATOS REFERENCIALES'!$C$31,('DATOS REFERENCIALES'!$D$31*INICIAL!K11),IF(J12='DATOS REFERENCIALES'!$C$32,('DATOS REFERENCIALES'!$D$32*INICIAL!K11),IF(J12='DATOS REFERENCIALES'!$C$33,('DATOS REFERENCIALES'!$D$33*INICIAL!K11),IF(J12='DATOS REFERENCIALES'!$C$34,('DATOS REFERENCIALES'!$D$34*INICIAL!K11),IF(J12='DATOS REFERENCIALES'!$C$35,('DATOS REFERENCIALES'!$D$35*INICIAL!K11),IF(J12='DATOS REFERENCIALES'!$C$36,('DATOS REFERENCIALES'!$D$36*INICIAL!K11),IF(J12='DATOS REFERENCIALES'!$C$37,('DATOS REFERENCIALES'!$D$37*INICIAL!K11),0))))))))</f>
        <v>687.45348000000001</v>
      </c>
      <c r="N12" s="361">
        <f>LOOKUP(C12,'TABLA ANTIG.'!$A$4:$A$39,'TABLA ANTIG.'!$B$4:$B$39)*(L12+M12)</f>
        <v>0</v>
      </c>
      <c r="O12" s="362">
        <f>(L12+M12)*0.1</f>
        <v>154.68024600000001</v>
      </c>
      <c r="P12" s="360"/>
      <c r="Q12" s="363"/>
      <c r="R12" s="364"/>
      <c r="S12" s="362"/>
      <c r="T12" s="362">
        <f>L12+M12+O12+N12+P12+Q12+R12+S12</f>
        <v>1701.4827059999998</v>
      </c>
      <c r="U12" s="365">
        <f t="shared" si="1"/>
        <v>187.16309765999998</v>
      </c>
      <c r="V12" s="362">
        <f t="shared" si="2"/>
        <v>51.044481179999991</v>
      </c>
      <c r="W12" s="365">
        <f t="shared" si="2"/>
        <v>51.044481179999991</v>
      </c>
      <c r="X12" s="362">
        <f>$T12*2%</f>
        <v>34.029654119999996</v>
      </c>
      <c r="Y12" s="362">
        <f t="shared" si="3"/>
        <v>76.566721769999987</v>
      </c>
      <c r="Z12" s="362">
        <f>SUM(U12:Y12)</f>
        <v>399.84843590999992</v>
      </c>
      <c r="AA12" s="366">
        <f>T12-Z12</f>
        <v>1301.63427009</v>
      </c>
      <c r="AB12" s="362"/>
      <c r="AC12" s="362"/>
      <c r="AD12" s="361">
        <f t="shared" si="6"/>
        <v>1301.63427009</v>
      </c>
      <c r="AE12" s="367"/>
      <c r="AF12" s="367"/>
      <c r="AG12" s="362"/>
      <c r="AH12" s="634"/>
      <c r="AI12" s="614"/>
      <c r="AJ12" s="634"/>
      <c r="AK12" s="634"/>
      <c r="AL12" s="636"/>
      <c r="AM12" s="668"/>
      <c r="AN12" s="669"/>
      <c r="AO12" s="670"/>
    </row>
    <row r="13" spans="1:41" s="1" customFormat="1" ht="20.25" customHeight="1" x14ac:dyDescent="0.2">
      <c r="A13" s="277">
        <v>579</v>
      </c>
      <c r="B13" s="278" t="s">
        <v>3</v>
      </c>
      <c r="C13" s="279">
        <v>0</v>
      </c>
      <c r="D13" s="279"/>
      <c r="E13" s="279"/>
      <c r="F13" s="279"/>
      <c r="G13" s="280">
        <v>1545</v>
      </c>
      <c r="H13" s="279">
        <f t="shared" si="0"/>
        <v>1545</v>
      </c>
      <c r="I13" s="279"/>
      <c r="J13" s="279"/>
      <c r="K13" s="281">
        <f>H13*'DATOS REFERENCIALES'!$C$4</f>
        <v>9928.17</v>
      </c>
      <c r="L13" s="281"/>
      <c r="M13" s="282"/>
      <c r="N13" s="283">
        <f>LOOKUP(C13,'TABLA ANTIG.'!$A$4:$A$39,'TABLA ANTIG.'!$B$4:$B$39)*(K13)</f>
        <v>0</v>
      </c>
      <c r="O13" s="283">
        <f>(K13)*0.1</f>
        <v>992.81700000000001</v>
      </c>
      <c r="P13" s="284">
        <f>'DATOS REFERENCIALES'!$C$8</f>
        <v>4275</v>
      </c>
      <c r="Q13" s="283">
        <f>LOOKUP(C13,'TABLA ANTIG.'!$A$4:$A$39,'TABLA ANTIG.'!$B$4:$B$39)*(P13)</f>
        <v>0</v>
      </c>
      <c r="R13" s="286">
        <v>0</v>
      </c>
      <c r="S13" s="283">
        <f>'DATOS REFERENCIALES'!$C$14</f>
        <v>0</v>
      </c>
      <c r="T13" s="283">
        <f t="shared" ref="T13:T21" si="7">K13+L13+M13+N13+O13+P13+Q13+R13+S13</f>
        <v>15195.987000000001</v>
      </c>
      <c r="U13" s="285">
        <f t="shared" si="1"/>
        <v>1671.5585700000001</v>
      </c>
      <c r="V13" s="285">
        <f t="shared" si="2"/>
        <v>455.87961000000001</v>
      </c>
      <c r="W13" s="286">
        <f t="shared" si="2"/>
        <v>455.87961000000001</v>
      </c>
      <c r="X13" s="283">
        <f t="shared" ref="X13:X21" si="8">$T13*2%</f>
        <v>303.91974000000005</v>
      </c>
      <c r="Y13" s="283">
        <f t="shared" si="3"/>
        <v>683.81941500000005</v>
      </c>
      <c r="Z13" s="283">
        <f t="shared" si="4"/>
        <v>3571.0569450000003</v>
      </c>
      <c r="AA13" s="285">
        <f t="shared" si="5"/>
        <v>11624.930055000001</v>
      </c>
      <c r="AB13" s="283">
        <f>'DATOS REFERENCIALES'!$C$10</f>
        <v>1520</v>
      </c>
      <c r="AC13" s="283">
        <f>IF((IF(H13&gt;1119,('DATOS REFERENCIALES'!$C$9-(T13-U13-V13-W13-X13-Y13+AB13-L13-L13*0.235-(S13-S13*0.235))),(('DATOS REFERENCIALES'!$C$9/1120)*H13)-(K13+N13+O13+P13+Q13+R13-U13-V13-W13-X13-Y13+AB13-(L13-L13*0.235)-(S13*0.235))))&lt;0,0,IF(H13&gt;1119,(('DATOS REFERENCIALES'!$C$9)-(T13-U13-V13-W13-X13-Y13+AB13-(L13-L13*0.235)-(S13-S13*0.235))),(('DATOS REFERENCIALES'!$C$9/1120)*H13)-(K13+N13+O13+P13+Q13+R13-U13-V13-W13-X13-Y13+AB13-(L13-L13*0.235)-(S13*0.235))))</f>
        <v>4005.0699449999993</v>
      </c>
      <c r="AD13" s="287">
        <f t="shared" si="6"/>
        <v>17150</v>
      </c>
      <c r="AE13" s="288">
        <f>'DATOS REFERENCIALES'!$C$13</f>
        <v>1210</v>
      </c>
      <c r="AF13" s="288">
        <f>IF($H13&gt;1119,'DATOS REFERENCIALES'!C17,'DATOS REFERENCIALES'!C17/1120*$H13)</f>
        <v>1500</v>
      </c>
      <c r="AG13" s="283">
        <f>'DATOS REFERENCIALES'!$C$12</f>
        <v>210</v>
      </c>
      <c r="AH13" s="639">
        <f>SUM(AD13:AG13)+SUM(AD14:AG14)</f>
        <v>20696.61866652</v>
      </c>
      <c r="AI13" s="637">
        <f>'DATOS REFERENCIALES'!C16</f>
        <v>772</v>
      </c>
      <c r="AJ13" s="639">
        <f>AI13*$AJ$8</f>
        <v>181.42</v>
      </c>
      <c r="AK13" s="639">
        <f>AI13-AJ13</f>
        <v>590.58000000000004</v>
      </c>
      <c r="AL13" s="641">
        <f>AH13+AK13</f>
        <v>21287.198666520002</v>
      </c>
      <c r="AM13" s="669"/>
      <c r="AN13" s="669"/>
      <c r="AO13" s="670"/>
    </row>
    <row r="14" spans="1:41" s="1" customFormat="1" ht="20.25" customHeight="1" thickBot="1" x14ac:dyDescent="0.25">
      <c r="A14" s="289">
        <v>579</v>
      </c>
      <c r="B14" s="290" t="s">
        <v>3</v>
      </c>
      <c r="C14" s="291">
        <f>IF(C13&gt;0,C13,0)</f>
        <v>0</v>
      </c>
      <c r="D14" s="291"/>
      <c r="E14" s="291"/>
      <c r="F14" s="291"/>
      <c r="G14" s="292">
        <v>1545</v>
      </c>
      <c r="H14" s="291"/>
      <c r="I14" s="291">
        <v>115.88</v>
      </c>
      <c r="J14" s="291"/>
      <c r="K14" s="293"/>
      <c r="L14" s="293">
        <f>I14*'DATOS REFERENCIALES'!$C$4</f>
        <v>744.64487999999994</v>
      </c>
      <c r="M14" s="294"/>
      <c r="N14" s="295">
        <f>LOOKUP(C14,'TABLA ANTIG.'!$A$4:$A$39,'TABLA ANTIG.'!$B$4:$B$39)*(L14+M14)</f>
        <v>0</v>
      </c>
      <c r="O14" s="295">
        <f>(L14+M14)*0.1</f>
        <v>74.464488000000003</v>
      </c>
      <c r="P14" s="296"/>
      <c r="Q14" s="295"/>
      <c r="R14" s="548"/>
      <c r="S14" s="336"/>
      <c r="T14" s="302">
        <f t="shared" si="7"/>
        <v>819.1093679999999</v>
      </c>
      <c r="U14" s="298">
        <f t="shared" si="1"/>
        <v>90.102030479999996</v>
      </c>
      <c r="V14" s="298">
        <f t="shared" si="2"/>
        <v>24.573281039999998</v>
      </c>
      <c r="W14" s="299">
        <f t="shared" si="2"/>
        <v>24.573281039999998</v>
      </c>
      <c r="X14" s="297">
        <f>$T14*2%</f>
        <v>16.38218736</v>
      </c>
      <c r="Y14" s="297">
        <f t="shared" si="3"/>
        <v>36.859921559999997</v>
      </c>
      <c r="Z14" s="297">
        <f t="shared" si="4"/>
        <v>192.49070147999998</v>
      </c>
      <c r="AA14" s="298">
        <f t="shared" si="5"/>
        <v>626.61866651999992</v>
      </c>
      <c r="AB14" s="295"/>
      <c r="AC14" s="295"/>
      <c r="AD14" s="300">
        <f t="shared" si="6"/>
        <v>626.61866651999992</v>
      </c>
      <c r="AE14" s="301"/>
      <c r="AF14" s="301"/>
      <c r="AG14" s="295"/>
      <c r="AH14" s="640"/>
      <c r="AI14" s="638"/>
      <c r="AJ14" s="640"/>
      <c r="AK14" s="640"/>
      <c r="AL14" s="642"/>
      <c r="AM14" s="669"/>
      <c r="AN14" s="669"/>
      <c r="AO14" s="670"/>
    </row>
    <row r="15" spans="1:41" s="1" customFormat="1" ht="21.75" customHeight="1" x14ac:dyDescent="0.2">
      <c r="A15" s="303">
        <v>544</v>
      </c>
      <c r="B15" s="304" t="s">
        <v>4</v>
      </c>
      <c r="C15" s="305">
        <v>0</v>
      </c>
      <c r="D15" s="305"/>
      <c r="E15" s="305"/>
      <c r="F15" s="305"/>
      <c r="G15" s="306">
        <v>1307</v>
      </c>
      <c r="H15" s="305">
        <f t="shared" si="0"/>
        <v>1307</v>
      </c>
      <c r="I15" s="305"/>
      <c r="J15" s="305"/>
      <c r="K15" s="307">
        <f>H15*'DATOS REFERENCIALES'!$C$4</f>
        <v>8398.7820000000011</v>
      </c>
      <c r="L15" s="307"/>
      <c r="M15" s="308"/>
      <c r="N15" s="309">
        <f>LOOKUP(C15,'TABLA ANTIG.'!$A$4:$A$39,'TABLA ANTIG.'!$B$4:$B$39)*(K15)</f>
        <v>0</v>
      </c>
      <c r="O15" s="309">
        <f>(K15)*0.1</f>
        <v>839.87820000000011</v>
      </c>
      <c r="P15" s="310">
        <f>'DATOS REFERENCIALES'!$C$8</f>
        <v>4275</v>
      </c>
      <c r="Q15" s="309">
        <f>LOOKUP(C15,'TABLA ANTIG.'!$A$4:$A$39,'TABLA ANTIG.'!$B$4:$B$39)*(P15)</f>
        <v>0</v>
      </c>
      <c r="R15" s="311">
        <v>0</v>
      </c>
      <c r="S15" s="309">
        <f>'DATOS REFERENCIALES'!$C$14</f>
        <v>0</v>
      </c>
      <c r="T15" s="309">
        <f t="shared" si="7"/>
        <v>13513.660200000002</v>
      </c>
      <c r="U15" s="313">
        <f t="shared" si="1"/>
        <v>1486.5026220000002</v>
      </c>
      <c r="V15" s="309">
        <f t="shared" si="2"/>
        <v>405.40980600000006</v>
      </c>
      <c r="W15" s="312">
        <f t="shared" si="2"/>
        <v>405.40980600000006</v>
      </c>
      <c r="X15" s="309">
        <f t="shared" si="8"/>
        <v>270.27320400000002</v>
      </c>
      <c r="Y15" s="309">
        <f t="shared" si="3"/>
        <v>608.11470900000006</v>
      </c>
      <c r="Z15" s="309">
        <f t="shared" si="4"/>
        <v>3175.7101470000002</v>
      </c>
      <c r="AA15" s="313">
        <f t="shared" si="5"/>
        <v>10337.950053000002</v>
      </c>
      <c r="AB15" s="313">
        <f>'DATOS REFERENCIALES'!$C$10</f>
        <v>1520</v>
      </c>
      <c r="AC15" s="309">
        <f>IF((IF(H15&gt;1119,('DATOS REFERENCIALES'!$C$9-(T15-U15-V15-W15-X15-Y15+AB15-L15-L15*0.235-(S15-S15*0.235))),(('DATOS REFERENCIALES'!$C$9/1120)*H15)-(K15+N15+O15+P15+Q15+R15-U15-V15-W15-X15-Y15+AB15-(L15-L15*0.235)-(S15*0.235))))&lt;0,0,IF(H15&gt;1119,(('DATOS REFERENCIALES'!$C$9)-(T15-U15-V15-W15-X15-Y15+AB15-(L15-L15*0.235)-(S15-S15*0.235))),(('DATOS REFERENCIALES'!$C$9/1120)*H15)-(K15+N15+O15+P15+Q15+R15-U15-V15-W15-X15-Y15+AB15-(L15-L15*0.235)-(S15*0.235))))</f>
        <v>5292.0499469999959</v>
      </c>
      <c r="AD15" s="312">
        <f t="shared" si="6"/>
        <v>17150</v>
      </c>
      <c r="AE15" s="314">
        <f>'DATOS REFERENCIALES'!$C$13</f>
        <v>1210</v>
      </c>
      <c r="AF15" s="314">
        <f>IF($H15&gt;1119,'DATOS REFERENCIALES'!C17,'DATOS REFERENCIALES'!C17/1120*$H15)</f>
        <v>1500</v>
      </c>
      <c r="AG15" s="309">
        <f>'DATOS REFERENCIALES'!$C$12</f>
        <v>210</v>
      </c>
      <c r="AH15" s="623">
        <f>SUM(AD15:AG15)+SUM(AD16:AG16)</f>
        <v>20600.09516637</v>
      </c>
      <c r="AI15" s="621">
        <f>'DATOS REFERENCIALES'!C16</f>
        <v>772</v>
      </c>
      <c r="AJ15" s="623">
        <f>AI15*$AJ$8</f>
        <v>181.42</v>
      </c>
      <c r="AK15" s="623">
        <f>AI15-AJ15</f>
        <v>590.58000000000004</v>
      </c>
      <c r="AL15" s="625">
        <f>AH15+AK15</f>
        <v>21190.675166370002</v>
      </c>
      <c r="AM15" s="669"/>
      <c r="AN15" s="669"/>
      <c r="AO15" s="670"/>
    </row>
    <row r="16" spans="1:41" s="1" customFormat="1" ht="21.75" customHeight="1" thickBot="1" x14ac:dyDescent="0.25">
      <c r="A16" s="315">
        <v>544</v>
      </c>
      <c r="B16" s="316" t="s">
        <v>4</v>
      </c>
      <c r="C16" s="317">
        <f>IF(C15&gt;0,C15,0)</f>
        <v>0</v>
      </c>
      <c r="D16" s="317"/>
      <c r="E16" s="317"/>
      <c r="F16" s="317"/>
      <c r="G16" s="318">
        <v>1307</v>
      </c>
      <c r="H16" s="317"/>
      <c r="I16" s="317">
        <v>98.03</v>
      </c>
      <c r="J16" s="317"/>
      <c r="K16" s="319"/>
      <c r="L16" s="319">
        <f>I16*'DATOS REFERENCIALES'!$C$4</f>
        <v>629.94078000000002</v>
      </c>
      <c r="M16" s="320"/>
      <c r="N16" s="321">
        <f>LOOKUP(C16,'TABLA ANTIG.'!$A$4:$A$39,'TABLA ANTIG.'!$B$4:$B$39)*(L16+M16)</f>
        <v>0</v>
      </c>
      <c r="O16" s="321">
        <f>(L16+M16)*0.1</f>
        <v>62.994078000000002</v>
      </c>
      <c r="P16" s="322"/>
      <c r="Q16" s="323"/>
      <c r="R16" s="324"/>
      <c r="S16" s="324"/>
      <c r="T16" s="323">
        <f t="shared" si="7"/>
        <v>692.93485800000008</v>
      </c>
      <c r="U16" s="326">
        <f t="shared" si="1"/>
        <v>76.222834380000009</v>
      </c>
      <c r="V16" s="323">
        <f t="shared" si="2"/>
        <v>20.788045740000001</v>
      </c>
      <c r="W16" s="325">
        <f t="shared" si="2"/>
        <v>20.788045740000001</v>
      </c>
      <c r="X16" s="323">
        <f t="shared" si="8"/>
        <v>13.858697160000002</v>
      </c>
      <c r="Y16" s="323">
        <f t="shared" si="3"/>
        <v>31.182068610000002</v>
      </c>
      <c r="Z16" s="323">
        <f>SUM(U16:Y16)</f>
        <v>162.83969163</v>
      </c>
      <c r="AA16" s="326">
        <f>T16-Z16</f>
        <v>530.09516637000002</v>
      </c>
      <c r="AB16" s="326"/>
      <c r="AC16" s="323"/>
      <c r="AD16" s="325">
        <f t="shared" si="6"/>
        <v>530.09516637000002</v>
      </c>
      <c r="AE16" s="327"/>
      <c r="AF16" s="327"/>
      <c r="AG16" s="323"/>
      <c r="AH16" s="663"/>
      <c r="AI16" s="644"/>
      <c r="AJ16" s="624"/>
      <c r="AK16" s="624"/>
      <c r="AL16" s="643"/>
      <c r="AM16" s="669"/>
      <c r="AN16" s="669"/>
      <c r="AO16" s="670"/>
    </row>
    <row r="17" spans="1:41" s="1" customFormat="1" ht="19.5" customHeight="1" x14ac:dyDescent="0.2">
      <c r="A17" s="200">
        <v>543</v>
      </c>
      <c r="B17" s="162" t="s">
        <v>54</v>
      </c>
      <c r="C17" s="120">
        <v>0</v>
      </c>
      <c r="D17" s="120"/>
      <c r="E17" s="120"/>
      <c r="F17" s="120"/>
      <c r="G17" s="164">
        <v>1120</v>
      </c>
      <c r="H17" s="120">
        <f t="shared" si="0"/>
        <v>1120</v>
      </c>
      <c r="I17" s="120"/>
      <c r="J17" s="120"/>
      <c r="K17" s="106">
        <f>H17*'DATOS REFERENCIALES'!$C$4</f>
        <v>7197.12</v>
      </c>
      <c r="L17" s="106"/>
      <c r="M17" s="201"/>
      <c r="N17" s="107">
        <f>LOOKUP(C17,'TABLA ANTIG.'!$A$4:$A$39,'TABLA ANTIG.'!$B$4:$B$39)*(K17+L17+M17)</f>
        <v>0</v>
      </c>
      <c r="O17" s="114">
        <f>(K17+L17+M17)*0.1</f>
        <v>719.71199999999999</v>
      </c>
      <c r="P17" s="204">
        <f>'DATOS REFERENCIALES'!$C$8</f>
        <v>4275</v>
      </c>
      <c r="Q17" s="107">
        <f>LOOKUP(C17,'TABLA ANTIG.'!$A$4:$A$39,'TABLA ANTIG.'!$B$4:$B$39)*(P17)</f>
        <v>0</v>
      </c>
      <c r="R17" s="146">
        <v>0</v>
      </c>
      <c r="S17" s="197">
        <f>'DATOS REFERENCIALES'!$C$14</f>
        <v>0</v>
      </c>
      <c r="T17" s="561">
        <f t="shared" si="7"/>
        <v>12191.832</v>
      </c>
      <c r="U17" s="79">
        <f t="shared" si="1"/>
        <v>1341.1015199999999</v>
      </c>
      <c r="V17" s="107">
        <f t="shared" si="2"/>
        <v>365.75495999999998</v>
      </c>
      <c r="W17" s="150">
        <f t="shared" si="2"/>
        <v>365.75495999999998</v>
      </c>
      <c r="X17" s="107">
        <f t="shared" si="8"/>
        <v>243.83664000000002</v>
      </c>
      <c r="Y17" s="107">
        <f t="shared" si="3"/>
        <v>548.63243999999997</v>
      </c>
      <c r="Z17" s="114">
        <f t="shared" si="4"/>
        <v>2865.0805199999995</v>
      </c>
      <c r="AA17" s="147">
        <f t="shared" si="5"/>
        <v>9326.7514800000008</v>
      </c>
      <c r="AB17" s="150">
        <f>'DATOS REFERENCIALES'!$C$10</f>
        <v>1520</v>
      </c>
      <c r="AC17" s="107">
        <f>IF((IF(H17&gt;1119,(('DATOS REFERENCIALES'!$C$9)-(T17-U17-V17-W17-X17-Y17+AB17-L17-L17*0.235)+(S17-S17*0.235)),(('DATOS REFERENCIALES'!$C$9/1120)*H17)-(K17+N17+O17+P17+Q17+R17-U17-V17-W17-X17-Y17+AB17-(L17-L17*0.235)-(S17*0.235))))&lt;0,0,IF(H17&gt;1119,(('DATOS REFERENCIALES'!$C$9)-(T17-U17-V17-W17-X17-Y17+AB17-(L17-L17*0.235)-(S17-S17*0.235))),(('DATOS REFERENCIALES'!$C$9/1120)*H17)-(K17+N17+O17+P17+Q17+R17-U17-V17-W17-X17-Y17+AB17-(L17-L17*0.235)-(S17*0.235))))</f>
        <v>6303.2485199999992</v>
      </c>
      <c r="AD17" s="147">
        <f t="shared" si="6"/>
        <v>17150</v>
      </c>
      <c r="AE17" s="205">
        <f>'DATOS REFERENCIALES'!$C$13</f>
        <v>1210</v>
      </c>
      <c r="AF17" s="187">
        <f>IF(H17&gt;1119,'DATOS REFERENCIALES'!C17,'DATOS REFERENCIALES'!C17/1120*H17)</f>
        <v>1500</v>
      </c>
      <c r="AG17" s="150">
        <f>'DATOS REFERENCIALES'!$C$12</f>
        <v>210</v>
      </c>
      <c r="AH17" s="150">
        <f>SUM(AD17:AG17)</f>
        <v>20070</v>
      </c>
      <c r="AI17" s="587">
        <f>'DATOS REFERENCIALES'!$C$16</f>
        <v>772</v>
      </c>
      <c r="AJ17" s="588">
        <f>AI17*$AJ$8</f>
        <v>181.42</v>
      </c>
      <c r="AK17" s="588">
        <f>AI17-AJ17</f>
        <v>590.58000000000004</v>
      </c>
      <c r="AL17" s="589">
        <f>AH17+AK17</f>
        <v>20660.580000000002</v>
      </c>
      <c r="AM17" s="669"/>
      <c r="AN17" s="669"/>
      <c r="AO17" s="670"/>
    </row>
    <row r="18" spans="1:41" s="1" customFormat="1" ht="21" customHeight="1" x14ac:dyDescent="0.2">
      <c r="A18" s="84">
        <v>906</v>
      </c>
      <c r="B18" s="86" t="s">
        <v>70</v>
      </c>
      <c r="C18" s="23">
        <v>0</v>
      </c>
      <c r="D18" s="23"/>
      <c r="E18" s="23"/>
      <c r="F18" s="23"/>
      <c r="G18" s="52">
        <v>1120</v>
      </c>
      <c r="H18" s="35">
        <f t="shared" si="0"/>
        <v>1120</v>
      </c>
      <c r="I18" s="35"/>
      <c r="J18" s="35"/>
      <c r="K18" s="90">
        <f>H18*'DATOS REFERENCIALES'!$C$4</f>
        <v>7197.12</v>
      </c>
      <c r="L18" s="90"/>
      <c r="M18" s="188"/>
      <c r="N18" s="80">
        <f>LOOKUP(C18,'TABLA ANTIG.'!$A$4:$A$39,'TABLA ANTIG.'!$B$4:$B$39)*(K18+L18+M18)</f>
        <v>0</v>
      </c>
      <c r="O18" s="27">
        <f>(K18+L18+M18)*0.1</f>
        <v>719.71199999999999</v>
      </c>
      <c r="P18" s="156">
        <f>'DATOS REFERENCIALES'!$C$8</f>
        <v>4275</v>
      </c>
      <c r="Q18" s="80">
        <f>LOOKUP(C18,'TABLA ANTIG.'!$A$4:$A$39,'TABLA ANTIG.'!$B$4:$B$39)*(P18)</f>
        <v>0</v>
      </c>
      <c r="R18" s="99">
        <v>0</v>
      </c>
      <c r="S18" s="80">
        <f>'DATOS REFERENCIALES'!$C$14</f>
        <v>0</v>
      </c>
      <c r="T18" s="131">
        <f t="shared" si="7"/>
        <v>12191.832</v>
      </c>
      <c r="U18" s="27">
        <f t="shared" si="1"/>
        <v>1341.1015199999999</v>
      </c>
      <c r="V18" s="27">
        <f t="shared" si="2"/>
        <v>365.75495999999998</v>
      </c>
      <c r="W18" s="99">
        <f t="shared" si="2"/>
        <v>365.75495999999998</v>
      </c>
      <c r="X18" s="27">
        <f t="shared" si="8"/>
        <v>243.83664000000002</v>
      </c>
      <c r="Y18" s="27">
        <f t="shared" si="3"/>
        <v>548.63243999999997</v>
      </c>
      <c r="Z18" s="27">
        <f t="shared" si="4"/>
        <v>2865.0805199999995</v>
      </c>
      <c r="AA18" s="131">
        <f t="shared" si="5"/>
        <v>9326.7514800000008</v>
      </c>
      <c r="AB18" s="148">
        <f>'DATOS REFERENCIALES'!$C$10</f>
        <v>1520</v>
      </c>
      <c r="AC18" s="80">
        <f>IF((IF(H18&gt;1119,('DATOS REFERENCIALES'!$C$9-(T18-U18-V18-W18-X18-Y18+AB18-L18-L18*0.235-(S18-S18*0.235))),(('DATOS REFERENCIALES'!$C$9/1120)*H18)-(K18+N18+O18+P18+Q18+R18-U18-V18-W18-X18-Y18+AB18-(L18-L18*0.235)-(S18*0.235))))&lt;0,0,IF(H18&gt;1119,(('DATOS REFERENCIALES'!$C$9)-(T18-U18-V18-W18-X18-Y18+AB18-(L18-L18*0.235)-(S18-S18*0.235))),(('DATOS REFERENCIALES'!$C$9/1120)*H18)-(K18+N18+O18+P18+Q18+R18-U18-V18-W18-X18-Y18+AB18-(L18-L18*0.235)-(S18*0.235))))</f>
        <v>6303.2485199999992</v>
      </c>
      <c r="AD18" s="131">
        <f t="shared" si="6"/>
        <v>17150</v>
      </c>
      <c r="AE18" s="168">
        <f>'DATOS REFERENCIALES'!$C$13</f>
        <v>1210</v>
      </c>
      <c r="AF18" s="92">
        <f>IF(H18&gt;1119,'DATOS REFERENCIALES'!C17,'DATOS REFERENCIALES'!C17/1120*H18)</f>
        <v>1500</v>
      </c>
      <c r="AG18" s="148">
        <f>'DATOS REFERENCIALES'!$C$12</f>
        <v>210</v>
      </c>
      <c r="AH18" s="148">
        <f>SUM(AD18:AG18)</f>
        <v>20070</v>
      </c>
      <c r="AI18" s="567">
        <f>'DATOS REFERENCIALES'!$C$16</f>
        <v>772</v>
      </c>
      <c r="AJ18" s="27">
        <f>AI18*$AJ$8</f>
        <v>181.42</v>
      </c>
      <c r="AK18" s="27">
        <f>AI18-AJ18</f>
        <v>590.58000000000004</v>
      </c>
      <c r="AL18" s="569">
        <f>AH18+AK18</f>
        <v>20660.580000000002</v>
      </c>
      <c r="AM18" s="669"/>
      <c r="AN18" s="669"/>
      <c r="AO18" s="670"/>
    </row>
    <row r="19" spans="1:41" s="1" customFormat="1" ht="17.25" customHeight="1" x14ac:dyDescent="0.2">
      <c r="A19" s="84">
        <v>907</v>
      </c>
      <c r="B19" s="86" t="s">
        <v>80</v>
      </c>
      <c r="C19" s="23">
        <v>0</v>
      </c>
      <c r="D19" s="23"/>
      <c r="E19" s="23"/>
      <c r="F19" s="23"/>
      <c r="G19" s="52">
        <v>1120</v>
      </c>
      <c r="H19" s="35">
        <f t="shared" si="0"/>
        <v>1120</v>
      </c>
      <c r="I19" s="35"/>
      <c r="J19" s="35"/>
      <c r="K19" s="90">
        <f>H19*'DATOS REFERENCIALES'!$C$4</f>
        <v>7197.12</v>
      </c>
      <c r="L19" s="90"/>
      <c r="M19" s="188"/>
      <c r="N19" s="80">
        <f>LOOKUP(C19,'TABLA ANTIG.'!$A$4:$A$39,'TABLA ANTIG.'!$B$4:$B$39)*(K19+L19+M19)</f>
        <v>0</v>
      </c>
      <c r="O19" s="27">
        <f>(K19+L19+M19)*0.1</f>
        <v>719.71199999999999</v>
      </c>
      <c r="P19" s="156">
        <f>'DATOS REFERENCIALES'!$C$8</f>
        <v>4275</v>
      </c>
      <c r="Q19" s="80">
        <f>LOOKUP(C19,'TABLA ANTIG.'!$A$4:$A$39,'TABLA ANTIG.'!$B$4:$B$39)*(P19)</f>
        <v>0</v>
      </c>
      <c r="R19" s="99">
        <v>0</v>
      </c>
      <c r="S19" s="80">
        <f>'DATOS REFERENCIALES'!$C$14</f>
        <v>0</v>
      </c>
      <c r="T19" s="131">
        <f t="shared" si="7"/>
        <v>12191.832</v>
      </c>
      <c r="U19" s="27">
        <f t="shared" si="1"/>
        <v>1341.1015199999999</v>
      </c>
      <c r="V19" s="27">
        <f t="shared" si="2"/>
        <v>365.75495999999998</v>
      </c>
      <c r="W19" s="99">
        <f t="shared" si="2"/>
        <v>365.75495999999998</v>
      </c>
      <c r="X19" s="27">
        <f t="shared" si="8"/>
        <v>243.83664000000002</v>
      </c>
      <c r="Y19" s="27">
        <f t="shared" si="3"/>
        <v>548.63243999999997</v>
      </c>
      <c r="Z19" s="27">
        <f t="shared" si="4"/>
        <v>2865.0805199999995</v>
      </c>
      <c r="AA19" s="131">
        <f t="shared" si="5"/>
        <v>9326.7514800000008</v>
      </c>
      <c r="AB19" s="148">
        <f>'DATOS REFERENCIALES'!$C$10</f>
        <v>1520</v>
      </c>
      <c r="AC19" s="80">
        <f>IF((IF(H19&gt;1119,('DATOS REFERENCIALES'!$C$9-(T19-U19-V19-W19-X19-Y19+AB19-L19-L19*0.235-(S19-S19*0.235))),(('DATOS REFERENCIALES'!$C$9/1120)*H19)-(K19+N19+O19+P19+Q19+R19-U19-V19-W19-X19-Y19+AB19-(L19-L19*0.235)-(S19*0.235))))&lt;0,0,IF(H19&gt;1119,(('DATOS REFERENCIALES'!$C$9)-(T19-U19-V19-W19-X19-Y19+AB19-(L19-L19*0.235)-(S19-S19*0.235))),(('DATOS REFERENCIALES'!$C$9/1120)*H19)-(K19+N19+O19+P19+Q19+R19-U19-V19-W19-X19-Y19+AB19-(L19-L19*0.235)-(S19*0.235))))</f>
        <v>6303.2485199999992</v>
      </c>
      <c r="AD19" s="131">
        <f t="shared" si="6"/>
        <v>17150</v>
      </c>
      <c r="AE19" s="168">
        <f>'DATOS REFERENCIALES'!$C$13</f>
        <v>1210</v>
      </c>
      <c r="AF19" s="92">
        <f>IF(H19&gt;1119,'DATOS REFERENCIALES'!C17,'DATOS REFERENCIALES'!C17/1120*H19)</f>
        <v>1500</v>
      </c>
      <c r="AG19" s="148">
        <f>'DATOS REFERENCIALES'!$C$12</f>
        <v>210</v>
      </c>
      <c r="AH19" s="148">
        <f>SUM(AD19:AG19)</f>
        <v>20070</v>
      </c>
      <c r="AI19" s="567">
        <f>'DATOS REFERENCIALES'!$C$16</f>
        <v>772</v>
      </c>
      <c r="AJ19" s="27">
        <f>AI19*$AJ$8</f>
        <v>181.42</v>
      </c>
      <c r="AK19" s="27">
        <f>AI19-AJ19</f>
        <v>590.58000000000004</v>
      </c>
      <c r="AL19" s="569">
        <f>AH19+AK19</f>
        <v>20660.580000000002</v>
      </c>
      <c r="AM19" s="669"/>
      <c r="AN19" s="669"/>
      <c r="AO19" s="670"/>
    </row>
    <row r="20" spans="1:41" s="1" customFormat="1" ht="18.75" customHeight="1" x14ac:dyDescent="0.2">
      <c r="A20" s="84">
        <v>889</v>
      </c>
      <c r="B20" s="86" t="s">
        <v>52</v>
      </c>
      <c r="C20" s="23">
        <v>0</v>
      </c>
      <c r="D20" s="23"/>
      <c r="E20" s="23"/>
      <c r="F20" s="23"/>
      <c r="G20" s="88">
        <v>981.5</v>
      </c>
      <c r="H20" s="89">
        <f t="shared" si="0"/>
        <v>981.5</v>
      </c>
      <c r="I20" s="89"/>
      <c r="J20" s="89"/>
      <c r="K20" s="90">
        <f>H20*'DATOS REFERENCIALES'!$C$4</f>
        <v>6307.1190000000006</v>
      </c>
      <c r="L20" s="90"/>
      <c r="M20" s="188"/>
      <c r="N20" s="80">
        <f>LOOKUP(C20,'TABLA ANTIG.'!$A$4:$A$39,'TABLA ANTIG.'!$B$4:$B$39)*(K20+L20+M20)</f>
        <v>0</v>
      </c>
      <c r="O20" s="27">
        <f>(K20+L20+M20)*0.1</f>
        <v>630.71190000000013</v>
      </c>
      <c r="P20" s="156">
        <f>'DATOS REFERENCIALES'!$C$8</f>
        <v>4275</v>
      </c>
      <c r="Q20" s="80">
        <f>LOOKUP(C20,'TABLA ANTIG.'!$A$4:$A$39,'TABLA ANTIG.'!$B$4:$B$39)*(P20)</f>
        <v>0</v>
      </c>
      <c r="R20" s="99">
        <v>0</v>
      </c>
      <c r="S20" s="80">
        <f>'DATOS REFERENCIALES'!$C$14</f>
        <v>0</v>
      </c>
      <c r="T20" s="131">
        <f t="shared" si="7"/>
        <v>11212.830900000001</v>
      </c>
      <c r="U20" s="27">
        <f t="shared" si="1"/>
        <v>1233.4113990000001</v>
      </c>
      <c r="V20" s="27">
        <f t="shared" si="2"/>
        <v>336.384927</v>
      </c>
      <c r="W20" s="99">
        <f t="shared" si="2"/>
        <v>336.384927</v>
      </c>
      <c r="X20" s="27">
        <f t="shared" si="8"/>
        <v>224.25661800000003</v>
      </c>
      <c r="Y20" s="27">
        <f t="shared" si="3"/>
        <v>504.57739050000004</v>
      </c>
      <c r="Z20" s="27">
        <f t="shared" si="4"/>
        <v>2635.0152615000002</v>
      </c>
      <c r="AA20" s="131">
        <f t="shared" si="5"/>
        <v>8577.8156385000002</v>
      </c>
      <c r="AB20" s="148">
        <f>'DATOS REFERENCIALES'!$C$10</f>
        <v>1520</v>
      </c>
      <c r="AC20" s="80">
        <f>IF((IF(H20&gt;1119,('DATOS REFERENCIALES'!$C$9-(T20-U20-V20-W20-X20-Y20+AB20-L20-L20*0.235+(S20-S20*0.235))),(('DATOS REFERENCIALES'!$C$9/1120)*H20)-(K20+N20+O20+P20+Q20+R20-U20-V20-W20-X20-Y20+AB20-(L20-L20*0.235)+(S20*0.235))))&lt;0,0,IF(H20&gt;1119,(('DATOS REFERENCIALES'!$C$9)-(T20-U20-V20-W20-X20-Y20+AB20-(L20-L20*0.235)+(S20-S20*0.235))),(('DATOS REFERENCIALES'!$C$9/1120)*H20)-(K20+N20+O20+P20+Q20+R20-U20-V20-W20-X20-Y20+AB20-(L20-L20*0.235)+(S20*0.235))))</f>
        <v>4931.403111499998</v>
      </c>
      <c r="AD20" s="131">
        <f t="shared" si="6"/>
        <v>15029.218749999998</v>
      </c>
      <c r="AE20" s="168">
        <f>'DATOS REFERENCIALES'!$C$13</f>
        <v>1210</v>
      </c>
      <c r="AF20" s="92">
        <f>IF(H20&gt;1119,'DATOS REFERENCIALES'!C17,'DATOS REFERENCIALES'!C17/1120*H20)</f>
        <v>1314.5089285714284</v>
      </c>
      <c r="AG20" s="148">
        <f>'DATOS REFERENCIALES'!$C$12</f>
        <v>210</v>
      </c>
      <c r="AH20" s="148">
        <f>SUM(AD20:AG20)</f>
        <v>17763.727678571428</v>
      </c>
      <c r="AI20" s="567">
        <f>'DATOS REFERENCIALES'!$C$16</f>
        <v>772</v>
      </c>
      <c r="AJ20" s="27">
        <f>AI20*$AJ$8</f>
        <v>181.42</v>
      </c>
      <c r="AK20" s="27">
        <f>AI20-AJ20</f>
        <v>590.58000000000004</v>
      </c>
      <c r="AL20" s="569">
        <f>AH20+AK20</f>
        <v>18354.307678571429</v>
      </c>
      <c r="AM20" s="669"/>
      <c r="AN20" s="669"/>
      <c r="AO20" s="670"/>
    </row>
    <row r="21" spans="1:41" s="1" customFormat="1" ht="22.5" customHeight="1" thickBot="1" x14ac:dyDescent="0.25">
      <c r="A21" s="85">
        <v>566</v>
      </c>
      <c r="B21" s="87" t="s">
        <v>8</v>
      </c>
      <c r="C21" s="24">
        <v>0</v>
      </c>
      <c r="D21" s="24">
        <v>1</v>
      </c>
      <c r="E21" s="24"/>
      <c r="F21" s="24"/>
      <c r="G21" s="53">
        <v>56</v>
      </c>
      <c r="H21" s="57">
        <f t="shared" si="0"/>
        <v>56</v>
      </c>
      <c r="I21" s="57"/>
      <c r="J21" s="57"/>
      <c r="K21" s="91">
        <f>(H21*'DATOS REFERENCIALES'!$C$4)*D21</f>
        <v>359.85599999999999</v>
      </c>
      <c r="L21" s="91"/>
      <c r="M21" s="189"/>
      <c r="N21" s="149">
        <f>LOOKUP(C21,'TABLA ANTIG.'!$A$4:$A$39,'TABLA ANTIG.'!$B$4:$B$39)*(K21+L21+M21)</f>
        <v>0</v>
      </c>
      <c r="O21" s="199">
        <f>(K21+L21+M21)*0.1</f>
        <v>35.985599999999998</v>
      </c>
      <c r="P21" s="198">
        <f>IF(D21&gt;48,'DATOS REFERENCIALES'!D8+('DATOS REFERENCIALES'!F8*10),IF(D21&lt;39,'DATOS REFERENCIALES'!$E$8*D21,((D21-'DATOS REFERENCIALES'!$I$8)*'DATOS REFERENCIALES'!$F$8)+'DATOS REFERENCIALES'!D8))</f>
        <v>225</v>
      </c>
      <c r="Q21" s="81">
        <f>LOOKUP(C21,'TABLA ANTIG.'!$A$4:$A$39,'TABLA ANTIG.'!$B$4:$B$39)*(P21)</f>
        <v>0</v>
      </c>
      <c r="R21" s="100">
        <v>0</v>
      </c>
      <c r="S21" s="91">
        <f>IF(D21&gt;29.99,'DATOS REFERENCIALES'!$D$14,'DATOS REFERENCIALES'!$E$14*D21)</f>
        <v>0</v>
      </c>
      <c r="T21" s="132">
        <f t="shared" si="7"/>
        <v>620.84159999999997</v>
      </c>
      <c r="U21" s="28">
        <f t="shared" si="1"/>
        <v>68.292575999999997</v>
      </c>
      <c r="V21" s="28">
        <f t="shared" si="2"/>
        <v>18.625247999999999</v>
      </c>
      <c r="W21" s="100">
        <f t="shared" si="2"/>
        <v>18.625247999999999</v>
      </c>
      <c r="X21" s="28">
        <f t="shared" si="8"/>
        <v>12.416831999999999</v>
      </c>
      <c r="Y21" s="28">
        <f t="shared" si="3"/>
        <v>27.937871999999999</v>
      </c>
      <c r="Z21" s="28">
        <f t="shared" si="4"/>
        <v>145.89777599999999</v>
      </c>
      <c r="AA21" s="132">
        <f t="shared" si="5"/>
        <v>474.94382399999995</v>
      </c>
      <c r="AB21" s="151">
        <f>IF(D21&gt;38,'DATOS REFERENCIALES'!$D$10,'DATOS REFERENCIALES'!$E$10*D21)</f>
        <v>80</v>
      </c>
      <c r="AC21" s="81">
        <f>IF(D21&gt;41,IF((('DATOS REFERENCIALES'!$D$9)-((T21-S21)-(Z21-S21*0.235)+(AB21)))&lt;0,0,((('DATOS REFERENCIALES'!$D$9)-((T21-S21)-(Z21-S21*0.235)+(AB21))))),IF((('DATOS REFERENCIALES'!$E$9*D21)-(((T21-S21)-(Z21-S21*0.235)+(AB21))))&lt;0,0,('DATOS REFERENCIALES'!$E$9*D21)-((T21-S21)-(Z21-S21*0.235)+(AB21))))</f>
        <v>302.55617600000005</v>
      </c>
      <c r="AD21" s="132">
        <f t="shared" si="6"/>
        <v>857.5</v>
      </c>
      <c r="AE21" s="169">
        <f>IF(D21&gt;'DATOS REFERENCIALES'!$I$13,'DATOS REFERENCIALES'!$D$13,('DATOS REFERENCIALES'!$E$13*D21))</f>
        <v>80.666659999999993</v>
      </c>
      <c r="AF21" s="169">
        <f>IF(D21&gt;'DATOS REFERENCIALES'!$I$17,'DATOS REFERENCIALES'!$D$17,('DATOS REFERENCIALES'!$E$17*D21))</f>
        <v>75</v>
      </c>
      <c r="AG21" s="151">
        <f>IF(D21&gt;'DATOS REFERENCIALES'!$I$12,'DATOS REFERENCIALES'!$D$12,'DATOS REFERENCIALES'!$E$12*D21)</f>
        <v>14</v>
      </c>
      <c r="AH21" s="151">
        <f>SUM(AD21:AG21)</f>
        <v>1027.1666599999999</v>
      </c>
      <c r="AI21" s="568">
        <f>IF(D21&gt;'DATOS REFERENCIALES'!$I$16,'DATOS REFERENCIALES'!$D$16,'DATOS REFERENCIALES'!$E$16*D21)</f>
        <v>51.47</v>
      </c>
      <c r="AJ21" s="28">
        <f>AI21*$AJ$8</f>
        <v>12.09545</v>
      </c>
      <c r="AK21" s="28">
        <f>AI21-AJ21</f>
        <v>39.374549999999999</v>
      </c>
      <c r="AL21" s="570">
        <f>AH21+AK21</f>
        <v>1066.5412099999999</v>
      </c>
      <c r="AM21" s="671"/>
      <c r="AN21" s="671"/>
      <c r="AO21" s="672"/>
    </row>
    <row r="22" spans="1:41" s="1" customFormat="1" ht="15.75" thickBot="1" x14ac:dyDescent="0.25">
      <c r="A22" s="71"/>
      <c r="B22" s="72"/>
      <c r="C22" s="73"/>
      <c r="D22" s="73"/>
      <c r="E22" s="73"/>
      <c r="F22" s="73"/>
      <c r="G22" s="67"/>
      <c r="H22" s="44"/>
      <c r="I22" s="44"/>
      <c r="J22" s="44"/>
      <c r="K22" s="41"/>
      <c r="L22" s="41"/>
      <c r="M22" s="41"/>
      <c r="N22" s="42"/>
      <c r="O22" s="74"/>
      <c r="P22" s="41"/>
      <c r="Q22" s="42"/>
      <c r="R22" s="74"/>
      <c r="S22" s="74"/>
      <c r="T22" s="74"/>
      <c r="U22" s="74"/>
      <c r="V22" s="74"/>
      <c r="W22" s="74"/>
      <c r="X22" s="74"/>
      <c r="Y22" s="74"/>
      <c r="Z22" s="74"/>
      <c r="AA22" s="45"/>
      <c r="AB22" s="46"/>
      <c r="AC22" s="45"/>
      <c r="AD22" s="45"/>
      <c r="AE22" s="47"/>
      <c r="AF22" s="47"/>
      <c r="AG22" s="69"/>
      <c r="AH22" s="45"/>
      <c r="AI22" s="16"/>
      <c r="AJ22" s="17"/>
      <c r="AK22" s="17"/>
      <c r="AO22" s="8"/>
    </row>
    <row r="23" spans="1:41" s="1" customFormat="1" ht="21.75" customHeight="1" thickBot="1" x14ac:dyDescent="0.35">
      <c r="A23" s="95" t="s">
        <v>122</v>
      </c>
      <c r="B23" s="96"/>
      <c r="C23" s="96"/>
      <c r="D23" s="96"/>
      <c r="E23" s="96"/>
      <c r="F23" s="96"/>
      <c r="G23" s="133"/>
      <c r="H23" s="133"/>
      <c r="I23" s="133"/>
      <c r="J23" s="133"/>
      <c r="K23" s="133"/>
      <c r="L23" s="133"/>
      <c r="M23" s="133"/>
      <c r="N23" s="133"/>
      <c r="O23" s="133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141" t="s">
        <v>139</v>
      </c>
      <c r="AC23" s="142"/>
      <c r="AD23" s="143"/>
      <c r="AE23" s="143"/>
      <c r="AF23" s="143"/>
      <c r="AG23" s="143"/>
      <c r="AH23" s="144"/>
      <c r="AI23"/>
      <c r="AJ23" s="577">
        <v>0.23499999999999999</v>
      </c>
      <c r="AK23"/>
      <c r="AL23"/>
    </row>
    <row r="24" spans="1:41" s="2" customFormat="1" ht="22.5" customHeight="1" thickBot="1" x14ac:dyDescent="0.25">
      <c r="A24" s="652" t="s">
        <v>1</v>
      </c>
      <c r="B24" s="654" t="s">
        <v>0</v>
      </c>
      <c r="C24" s="629" t="s">
        <v>77</v>
      </c>
      <c r="D24" s="629" t="s">
        <v>119</v>
      </c>
      <c r="E24" s="629" t="s">
        <v>127</v>
      </c>
      <c r="F24" s="629" t="s">
        <v>113</v>
      </c>
      <c r="G24" s="629" t="s">
        <v>102</v>
      </c>
      <c r="H24" s="629" t="s">
        <v>79</v>
      </c>
      <c r="I24" s="629" t="s">
        <v>148</v>
      </c>
      <c r="J24" s="627" t="s">
        <v>147</v>
      </c>
      <c r="K24" s="627" t="s">
        <v>121</v>
      </c>
      <c r="L24" s="627" t="s">
        <v>146</v>
      </c>
      <c r="M24" s="627" t="s">
        <v>147</v>
      </c>
      <c r="N24" s="645" t="s">
        <v>85</v>
      </c>
      <c r="O24" s="645" t="s">
        <v>120</v>
      </c>
      <c r="P24" s="647" t="s">
        <v>86</v>
      </c>
      <c r="Q24" s="645" t="s">
        <v>101</v>
      </c>
      <c r="R24" s="645" t="s">
        <v>84</v>
      </c>
      <c r="S24" s="629" t="s">
        <v>192</v>
      </c>
      <c r="T24" s="645" t="s">
        <v>69</v>
      </c>
      <c r="U24" s="656" t="s">
        <v>59</v>
      </c>
      <c r="V24" s="657"/>
      <c r="W24" s="657"/>
      <c r="X24" s="657"/>
      <c r="Y24" s="658"/>
      <c r="Z24" s="649" t="s">
        <v>68</v>
      </c>
      <c r="AA24" s="629" t="s">
        <v>89</v>
      </c>
      <c r="AB24" s="629" t="s">
        <v>88</v>
      </c>
      <c r="AC24" s="629" t="s">
        <v>87</v>
      </c>
      <c r="AD24" s="629" t="s">
        <v>91</v>
      </c>
      <c r="AE24" s="629" t="s">
        <v>90</v>
      </c>
      <c r="AF24" s="629" t="s">
        <v>196</v>
      </c>
      <c r="AG24" s="673" t="s">
        <v>145</v>
      </c>
      <c r="AH24" s="629" t="s">
        <v>92</v>
      </c>
      <c r="AI24" s="629" t="s">
        <v>192</v>
      </c>
      <c r="AJ24" s="631" t="s">
        <v>68</v>
      </c>
      <c r="AK24" s="629" t="s">
        <v>194</v>
      </c>
      <c r="AL24" s="629" t="s">
        <v>195</v>
      </c>
    </row>
    <row r="25" spans="1:41" s="2" customFormat="1" ht="93" customHeight="1" thickBot="1" x14ac:dyDescent="0.25">
      <c r="A25" s="653"/>
      <c r="B25" s="655"/>
      <c r="C25" s="630"/>
      <c r="D25" s="630"/>
      <c r="E25" s="630"/>
      <c r="F25" s="630"/>
      <c r="G25" s="630"/>
      <c r="H25" s="630"/>
      <c r="I25" s="630"/>
      <c r="J25" s="628"/>
      <c r="K25" s="628"/>
      <c r="L25" s="628"/>
      <c r="M25" s="628"/>
      <c r="N25" s="646"/>
      <c r="O25" s="646"/>
      <c r="P25" s="648"/>
      <c r="Q25" s="646"/>
      <c r="R25" s="646"/>
      <c r="S25" s="630"/>
      <c r="T25" s="646"/>
      <c r="U25" s="78" t="s">
        <v>141</v>
      </c>
      <c r="V25" s="78" t="s">
        <v>61</v>
      </c>
      <c r="W25" s="78" t="s">
        <v>62</v>
      </c>
      <c r="X25" s="78" t="s">
        <v>63</v>
      </c>
      <c r="Y25" s="78" t="s">
        <v>64</v>
      </c>
      <c r="Z25" s="650"/>
      <c r="AA25" s="630"/>
      <c r="AB25" s="630"/>
      <c r="AC25" s="630"/>
      <c r="AD25" s="630"/>
      <c r="AE25" s="630"/>
      <c r="AF25" s="630"/>
      <c r="AG25" s="630"/>
      <c r="AH25" s="630"/>
      <c r="AI25" s="630"/>
      <c r="AJ25" s="632"/>
      <c r="AK25" s="630"/>
      <c r="AL25" s="630"/>
    </row>
    <row r="26" spans="1:41" s="1" customFormat="1" ht="21.75" customHeight="1" x14ac:dyDescent="0.2">
      <c r="A26" s="368">
        <v>835</v>
      </c>
      <c r="B26" s="369" t="s">
        <v>169</v>
      </c>
      <c r="C26" s="340">
        <v>0</v>
      </c>
      <c r="D26" s="340"/>
      <c r="E26" s="341"/>
      <c r="F26" s="342"/>
      <c r="G26" s="343">
        <v>3125</v>
      </c>
      <c r="H26" s="340">
        <f>SUM(G26:G26)</f>
        <v>3125</v>
      </c>
      <c r="I26" s="370"/>
      <c r="J26" s="344"/>
      <c r="K26" s="345">
        <f>H26*'DATOS REFERENCIALES'!$C$4</f>
        <v>20081.25</v>
      </c>
      <c r="L26" s="345"/>
      <c r="M26" s="371"/>
      <c r="N26" s="347">
        <f>LOOKUP(C26,'TABLA ANTIG.'!$A$4:$A$39,'TABLA ANTIG.'!$B$4:$B$39)*(K26)</f>
        <v>0</v>
      </c>
      <c r="O26" s="347">
        <f>(K26)*0.1</f>
        <v>2008.125</v>
      </c>
      <c r="P26" s="345">
        <f>'DATOS REFERENCIALES'!$D$8</f>
        <v>8550</v>
      </c>
      <c r="Q26" s="347">
        <f>LOOKUP(C26,'TABLA ANTIG.'!$A$4:$A$39,'TABLA ANTIG.'!$B$4:$B$39)*(P26)</f>
        <v>0</v>
      </c>
      <c r="R26" s="346">
        <v>0</v>
      </c>
      <c r="S26" s="347">
        <f>'DATOS REFERENCIALES'!$D$14</f>
        <v>0</v>
      </c>
      <c r="T26" s="347">
        <f>K26+L26+M26+N26+O26+P26+Q26+R26+S26</f>
        <v>30639.375</v>
      </c>
      <c r="U26" s="347">
        <f t="shared" ref="U26:U33" si="9">$T26*11%</f>
        <v>3370.3312500000002</v>
      </c>
      <c r="V26" s="347">
        <f t="shared" ref="V26:W33" si="10">$T26*3%</f>
        <v>919.18124999999998</v>
      </c>
      <c r="W26" s="347">
        <f t="shared" si="10"/>
        <v>919.18124999999998</v>
      </c>
      <c r="X26" s="347">
        <f t="shared" ref="X26:X33" si="11">$T26*2%</f>
        <v>612.78750000000002</v>
      </c>
      <c r="Y26" s="347">
        <f t="shared" ref="Y26:Y33" si="12">$T26*4.5%</f>
        <v>1378.7718749999999</v>
      </c>
      <c r="Z26" s="347">
        <f t="shared" ref="Z26:Z33" si="13">SUM(U26:Y26)</f>
        <v>7200.2531249999993</v>
      </c>
      <c r="AA26" s="347">
        <f t="shared" ref="AA26:AA33" si="14">T26-Z26</f>
        <v>23439.121875000001</v>
      </c>
      <c r="AB26" s="372">
        <f>'DATOS REFERENCIALES'!$D$10</f>
        <v>3040</v>
      </c>
      <c r="AC26" s="427">
        <f>IF((IF(H26&gt;2042,('DATOS REFERENCIALES'!$D$9-(T26-U26-V26-W26-X26-Y26+AB26)+(S26-S26*0.235)),(('DATOS REFERENCIALES'!$D$9/2043)*H26)-(K26+N26+O26+P26+Q26+R26-U26-V26-W26-X26-Y26+AB26)))&lt;0,0,IF(H26&gt;2042,(('DATOS REFERENCIALES'!$D$9)-(T26-U26-V26-W26-X26-Y26+AB26)+(S26-S26*0.235)),(('DATOS REFERENCIALES'!$D$9/2043)*H26)-(K26+N26+O26+P26+Q26+R26-U26-V26-W26-X26-Y26+AB26)))</f>
        <v>7820.8781249999993</v>
      </c>
      <c r="AD26" s="347">
        <f t="shared" ref="AD26:AD33" si="15">SUM(AA26:AC26)</f>
        <v>34300</v>
      </c>
      <c r="AE26" s="373">
        <f>'DATOS REFERENCIALES'!$D$13</f>
        <v>2420</v>
      </c>
      <c r="AF26" s="352">
        <f>IF($H26&gt;2240,'DATOS REFERENCIALES'!D17,'DATOS REFERENCIALES'!D17/2240*$H26)</f>
        <v>3000</v>
      </c>
      <c r="AG26" s="347">
        <f>'DATOS REFERENCIALES'!$D$12</f>
        <v>420</v>
      </c>
      <c r="AH26" s="633">
        <f>SUM(AD26:AG26)+SUM(AD27:AG27)</f>
        <v>42421.30724052</v>
      </c>
      <c r="AI26" s="613">
        <f>'DATOS REFERENCIALES'!D16</f>
        <v>1544</v>
      </c>
      <c r="AJ26" s="633">
        <f t="shared" ref="AJ26:AJ32" si="16">AI26*$AJ$8</f>
        <v>362.84</v>
      </c>
      <c r="AK26" s="633">
        <f t="shared" ref="AK26:AK32" si="17">AI26-AJ26</f>
        <v>1181.1600000000001</v>
      </c>
      <c r="AL26" s="635">
        <f t="shared" ref="AL26:AL32" si="18">AH26+AK26</f>
        <v>43602.467240520004</v>
      </c>
      <c r="AO26" s="8"/>
    </row>
    <row r="27" spans="1:41" s="1" customFormat="1" ht="27" customHeight="1" thickBot="1" x14ac:dyDescent="0.25">
      <c r="A27" s="375">
        <v>835</v>
      </c>
      <c r="B27" s="376" t="s">
        <v>169</v>
      </c>
      <c r="C27" s="355">
        <f>IF(C26&gt;0,C26,0)</f>
        <v>0</v>
      </c>
      <c r="D27" s="355"/>
      <c r="E27" s="356"/>
      <c r="F27" s="357"/>
      <c r="G27" s="358"/>
      <c r="H27" s="355"/>
      <c r="I27" s="355">
        <v>234.38</v>
      </c>
      <c r="J27" s="359" t="s">
        <v>150</v>
      </c>
      <c r="K27" s="360"/>
      <c r="L27" s="360">
        <f>I27*'DATOS REFERENCIALES'!$C$4</f>
        <v>1506.1258800000001</v>
      </c>
      <c r="M27" s="377">
        <f>IF(J27='DATOS REFERENCIALES'!$C$30,INICIAL!K26*'DATOS REFERENCIALES'!$D$30,IF(J27='DATOS REFERENCIALES'!$C$31,('DATOS REFERENCIALES'!$D$31*INICIAL!K26),IF(J27='DATOS REFERENCIALES'!$C$32,('DATOS REFERENCIALES'!$D$32*INICIAL!K26),IF(J27='DATOS REFERENCIALES'!$C$33,('DATOS REFERENCIALES'!$D$33*INICIAL!K26),IF(J27='DATOS REFERENCIALES'!$C$34,('DATOS REFERENCIALES'!$D$34*INICIAL!K26),IF(J27='DATOS REFERENCIALES'!$C$35,('DATOS REFERENCIALES'!$D$35*INICIAL!K26),IF(J27='DATOS REFERENCIALES'!$C$36,('DATOS REFERENCIALES'!$D$36*INICIAL!K26),IF(J27='DATOS REFERENCIALES'!$C$37,('DATOS REFERENCIALES'!$D$37*INICIAL!K26),0))))))))</f>
        <v>1204.875</v>
      </c>
      <c r="N27" s="362">
        <f>LOOKUP(C27,'TABLA ANTIG.'!$A$4:$A$39,'TABLA ANTIG.'!$B$4:$B$39)*(L27+M27)</f>
        <v>0</v>
      </c>
      <c r="O27" s="362">
        <f>(L27+M27)*0.1</f>
        <v>271.10008800000003</v>
      </c>
      <c r="P27" s="360"/>
      <c r="Q27" s="362"/>
      <c r="R27" s="361"/>
      <c r="S27" s="362"/>
      <c r="T27" s="362">
        <f>K27+L27+M27+N27+O27+P27+Q27+R27</f>
        <v>2982.1009680000002</v>
      </c>
      <c r="U27" s="362">
        <f t="shared" si="9"/>
        <v>328.03110648000001</v>
      </c>
      <c r="V27" s="362">
        <f t="shared" si="10"/>
        <v>89.463029040000009</v>
      </c>
      <c r="W27" s="362">
        <f t="shared" si="10"/>
        <v>89.463029040000009</v>
      </c>
      <c r="X27" s="362">
        <f t="shared" si="11"/>
        <v>59.642019360000006</v>
      </c>
      <c r="Y27" s="362">
        <f t="shared" si="12"/>
        <v>134.19454356</v>
      </c>
      <c r="Z27" s="362">
        <f t="shared" si="13"/>
        <v>700.79372748000014</v>
      </c>
      <c r="AA27" s="362">
        <f t="shared" si="14"/>
        <v>2281.3072405200001</v>
      </c>
      <c r="AB27" s="378"/>
      <c r="AC27" s="362"/>
      <c r="AD27" s="362">
        <f t="shared" si="15"/>
        <v>2281.3072405200001</v>
      </c>
      <c r="AE27" s="379"/>
      <c r="AF27" s="367"/>
      <c r="AG27" s="362"/>
      <c r="AH27" s="634"/>
      <c r="AI27" s="614"/>
      <c r="AJ27" s="634"/>
      <c r="AK27" s="634"/>
      <c r="AL27" s="636"/>
      <c r="AO27" s="8"/>
    </row>
    <row r="28" spans="1:41" s="1" customFormat="1" ht="20.25" customHeight="1" x14ac:dyDescent="0.2">
      <c r="A28" s="399">
        <v>877</v>
      </c>
      <c r="B28" s="400" t="s">
        <v>170</v>
      </c>
      <c r="C28" s="279">
        <v>0</v>
      </c>
      <c r="D28" s="279"/>
      <c r="E28" s="328"/>
      <c r="F28" s="329"/>
      <c r="G28" s="330">
        <v>2667</v>
      </c>
      <c r="H28" s="279">
        <f>SUM(G28:G28)</f>
        <v>2667</v>
      </c>
      <c r="I28" s="401"/>
      <c r="J28" s="279"/>
      <c r="K28" s="281">
        <f>H28*'DATOS REFERENCIALES'!$C$4</f>
        <v>17138.142</v>
      </c>
      <c r="L28" s="281"/>
      <c r="M28" s="282"/>
      <c r="N28" s="283">
        <f>LOOKUP(C28,'TABLA ANTIG.'!$A$4:$A$39,'TABLA ANTIG.'!$B$4:$B$39)*(K28)</f>
        <v>0</v>
      </c>
      <c r="O28" s="283">
        <f>(K28)*0.1</f>
        <v>1713.8142</v>
      </c>
      <c r="P28" s="281">
        <f>'DATOS REFERENCIALES'!$D$8</f>
        <v>8550</v>
      </c>
      <c r="Q28" s="283">
        <f>LOOKUP(C28,'TABLA ANTIG.'!$A$4:$A$39,'TABLA ANTIG.'!$B$4:$B$39)*(P28)</f>
        <v>0</v>
      </c>
      <c r="R28" s="287">
        <v>0</v>
      </c>
      <c r="S28" s="283">
        <f>'DATOS REFERENCIALES'!$D$14</f>
        <v>0</v>
      </c>
      <c r="T28" s="283">
        <f>K28+L28+M28+N28+O28+P28+Q28+R28+S28</f>
        <v>27401.956200000001</v>
      </c>
      <c r="U28" s="283">
        <f t="shared" si="9"/>
        <v>3014.2151819999999</v>
      </c>
      <c r="V28" s="283">
        <f t="shared" si="10"/>
        <v>822.05868599999997</v>
      </c>
      <c r="W28" s="283">
        <f t="shared" si="10"/>
        <v>822.05868599999997</v>
      </c>
      <c r="X28" s="283">
        <f t="shared" si="11"/>
        <v>548.03912400000002</v>
      </c>
      <c r="Y28" s="283">
        <f t="shared" si="12"/>
        <v>1233.088029</v>
      </c>
      <c r="Z28" s="283">
        <f t="shared" si="13"/>
        <v>6439.459707</v>
      </c>
      <c r="AA28" s="283">
        <f t="shared" si="14"/>
        <v>20962.496492999999</v>
      </c>
      <c r="AB28" s="402">
        <f>'DATOS REFERENCIALES'!$D$10</f>
        <v>3040</v>
      </c>
      <c r="AC28" s="420">
        <f>IF((IF(H28&gt;2042,('DATOS REFERENCIALES'!$D$9-(T28-U28-V28-W28-X28-Y28+AB28)+(S28-S28*0.235)),(('DATOS REFERENCIALES'!$D$9/2043)*H28)-(K28+N28+O28+P28+Q28+R28-U28-V28-W28-X28-Y28+AB28)))&lt;0,0,IF(H28&gt;2042,(('DATOS REFERENCIALES'!$D$9)-(T28-U28-V28-W28-X28-Y28+AB28)+(S28-S28*0.235)),(('DATOS REFERENCIALES'!$D$9/2043)*H28)-(K28+N28+O28+P28+Q28+R28-U28-V28-W28-X28-Y28+AB28)))</f>
        <v>10297.503506999998</v>
      </c>
      <c r="AD28" s="283">
        <f t="shared" si="15"/>
        <v>34300</v>
      </c>
      <c r="AE28" s="403">
        <f>'DATOS REFERENCIALES'!$D$13</f>
        <v>2420</v>
      </c>
      <c r="AF28" s="288">
        <f>IF($H28&gt;2240,'DATOS REFERENCIALES'!D17,'DATOS REFERENCIALES'!D17/2240*$H28)</f>
        <v>3000</v>
      </c>
      <c r="AG28" s="283">
        <f>'DATOS REFERENCIALES'!$D$12</f>
        <v>420</v>
      </c>
      <c r="AH28" s="639">
        <f>SUM(AD28:AG28)+SUM(AD29:AG29)</f>
        <v>41221.658024370001</v>
      </c>
      <c r="AI28" s="615">
        <f>'DATOS REFERENCIALES'!D16</f>
        <v>1544</v>
      </c>
      <c r="AJ28" s="617">
        <f t="shared" si="16"/>
        <v>362.84</v>
      </c>
      <c r="AK28" s="617">
        <f t="shared" si="17"/>
        <v>1181.1600000000001</v>
      </c>
      <c r="AL28" s="619">
        <f t="shared" si="18"/>
        <v>42402.818024370004</v>
      </c>
      <c r="AO28" s="8"/>
    </row>
    <row r="29" spans="1:41" s="1" customFormat="1" ht="20.25" customHeight="1" thickBot="1" x14ac:dyDescent="0.25">
      <c r="A29" s="405">
        <v>877</v>
      </c>
      <c r="B29" s="406" t="s">
        <v>170</v>
      </c>
      <c r="C29" s="291">
        <f>IF(C28&gt;0,C28,0)</f>
        <v>0</v>
      </c>
      <c r="D29" s="331"/>
      <c r="E29" s="332"/>
      <c r="F29" s="333"/>
      <c r="G29" s="334"/>
      <c r="H29" s="331"/>
      <c r="I29" s="331">
        <v>200.03</v>
      </c>
      <c r="J29" s="331"/>
      <c r="K29" s="335"/>
      <c r="L29" s="335">
        <f>I29*'DATOS REFERENCIALES'!$C$4</f>
        <v>1285.3927800000001</v>
      </c>
      <c r="M29" s="407"/>
      <c r="N29" s="302">
        <f>LOOKUP(C29,'TABLA ANTIG.'!$A$4:$A$39,'TABLA ANTIG.'!$B$4:$B$39)*(L29+M29)</f>
        <v>0</v>
      </c>
      <c r="O29" s="302">
        <f>(L29+M29)*0.1</f>
        <v>128.53927800000002</v>
      </c>
      <c r="P29" s="335"/>
      <c r="Q29" s="302"/>
      <c r="R29" s="300"/>
      <c r="S29" s="336"/>
      <c r="T29" s="302">
        <f>K29+L29+M29+N29+O29+P29+Q29+R29</f>
        <v>1413.9320580000001</v>
      </c>
      <c r="U29" s="302">
        <f t="shared" si="9"/>
        <v>155.53252638000001</v>
      </c>
      <c r="V29" s="302">
        <f t="shared" si="10"/>
        <v>42.417961740000003</v>
      </c>
      <c r="W29" s="302">
        <f t="shared" si="10"/>
        <v>42.417961740000003</v>
      </c>
      <c r="X29" s="302">
        <f t="shared" si="11"/>
        <v>28.278641160000003</v>
      </c>
      <c r="Y29" s="302">
        <f t="shared" si="12"/>
        <v>63.62694261</v>
      </c>
      <c r="Z29" s="302">
        <f t="shared" si="13"/>
        <v>332.27403363000002</v>
      </c>
      <c r="AA29" s="302">
        <f t="shared" si="14"/>
        <v>1081.65802437</v>
      </c>
      <c r="AB29" s="408"/>
      <c r="AC29" s="302"/>
      <c r="AD29" s="302">
        <f t="shared" si="15"/>
        <v>1081.65802437</v>
      </c>
      <c r="AE29" s="409"/>
      <c r="AF29" s="531"/>
      <c r="AG29" s="302"/>
      <c r="AH29" s="640"/>
      <c r="AI29" s="616"/>
      <c r="AJ29" s="618"/>
      <c r="AK29" s="618"/>
      <c r="AL29" s="620"/>
      <c r="AO29" s="8"/>
    </row>
    <row r="30" spans="1:41" s="1" customFormat="1" ht="23.25" customHeight="1" x14ac:dyDescent="0.2">
      <c r="A30" s="395">
        <v>838</v>
      </c>
      <c r="B30" s="396" t="s">
        <v>4</v>
      </c>
      <c r="C30" s="305">
        <v>0</v>
      </c>
      <c r="D30" s="305"/>
      <c r="E30" s="382"/>
      <c r="F30" s="383"/>
      <c r="G30" s="384">
        <v>2359</v>
      </c>
      <c r="H30" s="305">
        <f>SUM(G30:G30)</f>
        <v>2359</v>
      </c>
      <c r="I30" s="305"/>
      <c r="J30" s="305"/>
      <c r="K30" s="307">
        <f>H30*'DATOS REFERENCIALES'!$C$4</f>
        <v>15158.934000000001</v>
      </c>
      <c r="L30" s="307"/>
      <c r="M30" s="308"/>
      <c r="N30" s="309">
        <f>LOOKUP(C30,'TABLA ANTIG.'!$A$4:$A$39,'TABLA ANTIG.'!$B$4:$B$39)*(K30+L30+M30)</f>
        <v>0</v>
      </c>
      <c r="O30" s="309">
        <f>(K30)*0.1</f>
        <v>1515.8934000000002</v>
      </c>
      <c r="P30" s="307">
        <f>'DATOS REFERENCIALES'!$D$8</f>
        <v>8550</v>
      </c>
      <c r="Q30" s="309">
        <f>LOOKUP(C30,'TABLA ANTIG.'!$A$4:$A$39,'TABLA ANTIG.'!$B$4:$B$39)*(P30)</f>
        <v>0</v>
      </c>
      <c r="R30" s="312">
        <v>0</v>
      </c>
      <c r="S30" s="309">
        <f>'DATOS REFERENCIALES'!$D$14</f>
        <v>0</v>
      </c>
      <c r="T30" s="309">
        <f>K30+L30+M30+N30+O30+P30+Q30+R30+S30</f>
        <v>25224.827400000002</v>
      </c>
      <c r="U30" s="309">
        <f t="shared" si="9"/>
        <v>2774.7310140000004</v>
      </c>
      <c r="V30" s="309">
        <f t="shared" si="10"/>
        <v>756.744822</v>
      </c>
      <c r="W30" s="309">
        <f t="shared" si="10"/>
        <v>756.744822</v>
      </c>
      <c r="X30" s="309">
        <f t="shared" si="11"/>
        <v>504.49654800000008</v>
      </c>
      <c r="Y30" s="309">
        <f t="shared" si="12"/>
        <v>1135.1172329999999</v>
      </c>
      <c r="Z30" s="309">
        <f t="shared" si="13"/>
        <v>5927.8344390000002</v>
      </c>
      <c r="AA30" s="309">
        <f t="shared" si="14"/>
        <v>19296.992961000004</v>
      </c>
      <c r="AB30" s="385">
        <f>'DATOS REFERENCIALES'!$D$10</f>
        <v>3040</v>
      </c>
      <c r="AC30" s="416">
        <f>IF((IF(H30&gt;2042,('DATOS REFERENCIALES'!$D$9-(T30-U30-V30-W30-X30-Y30+AB30)+(S30-S30*0.235)),(('DATOS REFERENCIALES'!$D$9/2043)*H30)-(K30+N30+O30+P30+Q30+R30-U30-V30-W30-X30-Y30+AB30)))&lt;0,0,IF(H30&gt;2042,(('DATOS REFERENCIALES'!$D$9)-(T30-U30-V30-W30-X30-Y30+AB30)+(S30-S30*0.235)),(('DATOS REFERENCIALES'!$D$9/2043)*H30)-(K30+N30+O30+P30+Q30+R30-U30-V30-W30-X30-Y30+AB30)))</f>
        <v>11963.007039</v>
      </c>
      <c r="AD30" s="309">
        <f t="shared" si="15"/>
        <v>34300</v>
      </c>
      <c r="AE30" s="386">
        <f>'DATOS REFERENCIALES'!$D$13</f>
        <v>2420</v>
      </c>
      <c r="AF30" s="314">
        <f>IF($H30&gt;2240,'DATOS REFERENCIALES'!D17,'DATOS REFERENCIALES'!D17/2240*$H30)</f>
        <v>3000</v>
      </c>
      <c r="AG30" s="309">
        <f>'DATOS REFERENCIALES'!$D$12</f>
        <v>420</v>
      </c>
      <c r="AH30" s="623">
        <f>SUM(AD30:AG30)+SUM(AD31:AG31)</f>
        <v>41096.745259470001</v>
      </c>
      <c r="AI30" s="621">
        <f>'DATOS REFERENCIALES'!D16</f>
        <v>1544</v>
      </c>
      <c r="AJ30" s="623">
        <f t="shared" si="16"/>
        <v>362.84</v>
      </c>
      <c r="AK30" s="623">
        <f t="shared" si="17"/>
        <v>1181.1600000000001</v>
      </c>
      <c r="AL30" s="625">
        <f t="shared" si="18"/>
        <v>42277.905259470004</v>
      </c>
      <c r="AO30" s="8"/>
    </row>
    <row r="31" spans="1:41" s="1" customFormat="1" ht="23.25" customHeight="1" thickBot="1" x14ac:dyDescent="0.25">
      <c r="A31" s="397">
        <v>838</v>
      </c>
      <c r="B31" s="398" t="s">
        <v>4</v>
      </c>
      <c r="C31" s="317">
        <f>IF(C30&gt;0,C30,0)</f>
        <v>0</v>
      </c>
      <c r="D31" s="317"/>
      <c r="E31" s="389"/>
      <c r="F31" s="390"/>
      <c r="G31" s="391"/>
      <c r="H31" s="317"/>
      <c r="I31" s="317">
        <v>176.93</v>
      </c>
      <c r="J31" s="317"/>
      <c r="K31" s="319"/>
      <c r="L31" s="319">
        <f>I31*'DATOS REFERENCIALES'!$C$4</f>
        <v>1136.95218</v>
      </c>
      <c r="M31" s="320"/>
      <c r="N31" s="323">
        <f>LOOKUP(C31,'TABLA ANTIG.'!$A$4:$A$39,'TABLA ANTIG.'!$B$4:$B$39)*(K31+L31+M31)</f>
        <v>0</v>
      </c>
      <c r="O31" s="323">
        <f>(L31+M31)*0.1</f>
        <v>113.69521800000001</v>
      </c>
      <c r="P31" s="319"/>
      <c r="Q31" s="323"/>
      <c r="R31" s="325"/>
      <c r="S31" s="324"/>
      <c r="T31" s="323">
        <f>K31+L31+M31+N31+O31+P31+Q31+R31</f>
        <v>1250.6473980000001</v>
      </c>
      <c r="U31" s="323">
        <f t="shared" si="9"/>
        <v>137.57121378000002</v>
      </c>
      <c r="V31" s="323">
        <f t="shared" si="10"/>
        <v>37.519421940000001</v>
      </c>
      <c r="W31" s="323">
        <f t="shared" si="10"/>
        <v>37.519421940000001</v>
      </c>
      <c r="X31" s="323">
        <f t="shared" si="11"/>
        <v>25.012947960000002</v>
      </c>
      <c r="Y31" s="323">
        <f t="shared" si="12"/>
        <v>56.279132910000001</v>
      </c>
      <c r="Z31" s="323">
        <f t="shared" si="13"/>
        <v>293.90213853</v>
      </c>
      <c r="AA31" s="323">
        <f t="shared" si="14"/>
        <v>956.74525947000006</v>
      </c>
      <c r="AB31" s="392"/>
      <c r="AC31" s="323"/>
      <c r="AD31" s="323">
        <f t="shared" si="15"/>
        <v>956.74525947000006</v>
      </c>
      <c r="AE31" s="393"/>
      <c r="AF31" s="327"/>
      <c r="AG31" s="323"/>
      <c r="AH31" s="663"/>
      <c r="AI31" s="622"/>
      <c r="AJ31" s="624"/>
      <c r="AK31" s="624"/>
      <c r="AL31" s="626"/>
      <c r="AO31" s="8"/>
    </row>
    <row r="32" spans="1:41" s="1" customFormat="1" ht="21" customHeight="1" x14ac:dyDescent="0.2">
      <c r="A32" s="161">
        <v>906</v>
      </c>
      <c r="B32" s="208" t="s">
        <v>54</v>
      </c>
      <c r="C32" s="120">
        <v>0</v>
      </c>
      <c r="D32" s="120"/>
      <c r="E32" s="209"/>
      <c r="F32" s="120"/>
      <c r="G32" s="211">
        <v>2240</v>
      </c>
      <c r="H32" s="120">
        <f>SUM(G32:G32)</f>
        <v>2240</v>
      </c>
      <c r="I32" s="120"/>
      <c r="J32" s="120"/>
      <c r="K32" s="106">
        <f>H32*'DATOS REFERENCIALES'!$C$4</f>
        <v>14394.24</v>
      </c>
      <c r="L32" s="106"/>
      <c r="M32" s="201"/>
      <c r="N32" s="107">
        <f>LOOKUP(C32,'TABLA ANTIG.'!$A$4:$A$39,'TABLA ANTIG.'!$B$4:$B$39)*(K32+L32+M32)</f>
        <v>0</v>
      </c>
      <c r="O32" s="114">
        <f>(K32+L32+M32)*0.1</f>
        <v>1439.424</v>
      </c>
      <c r="P32" s="106">
        <f>'DATOS REFERENCIALES'!$D$8</f>
        <v>8550</v>
      </c>
      <c r="Q32" s="107">
        <f>LOOKUP(C32,'TABLA ANTIG.'!$A$4:$A$39,'TABLA ANTIG.'!$B$4:$B$39)*(P32)</f>
        <v>0</v>
      </c>
      <c r="R32" s="206">
        <v>0</v>
      </c>
      <c r="S32" s="79">
        <f>'DATOS REFERENCIALES'!$D$14</f>
        <v>0</v>
      </c>
      <c r="T32" s="114">
        <f>K32+L32+M32+N32+O32+P32+Q32+R32+S32</f>
        <v>24383.664000000001</v>
      </c>
      <c r="U32" s="107">
        <f t="shared" si="9"/>
        <v>2682.2030399999999</v>
      </c>
      <c r="V32" s="107">
        <f t="shared" si="10"/>
        <v>731.50991999999997</v>
      </c>
      <c r="W32" s="107">
        <f t="shared" si="10"/>
        <v>731.50991999999997</v>
      </c>
      <c r="X32" s="107">
        <f t="shared" si="11"/>
        <v>487.67328000000003</v>
      </c>
      <c r="Y32" s="107">
        <f t="shared" si="12"/>
        <v>1097.2648799999999</v>
      </c>
      <c r="Z32" s="114">
        <f t="shared" si="13"/>
        <v>5730.161039999999</v>
      </c>
      <c r="AA32" s="107">
        <f t="shared" si="14"/>
        <v>18653.502960000002</v>
      </c>
      <c r="AB32" s="215">
        <f>'DATOS REFERENCIALES'!$D$10</f>
        <v>3040</v>
      </c>
      <c r="AC32" s="80">
        <f>IF((IF(H32&gt;2042,('DATOS REFERENCIALES'!$D$9-(T32-U32-V32-W32-X32-Y32+AB32)+(S32-S32*0.235)),(('DATOS REFERENCIALES'!$D$9/2043)*H32)-(K32+N32+O32+P32+Q32+R32-U32-V32-W32-X32-Y32+AB32)))&lt;0,0,IF(H32&gt;2042,(('DATOS REFERENCIALES'!$D$9)-(T32-U32-V32-W32-X32-Y32+AB32)+(S32-S32*0.235)),(('DATOS REFERENCIALES'!$D$9/2043)*H32)-(K32+N32+O32+P32+Q32+R32-U32-V32-W32-X32-Y32+AB32)))</f>
        <v>12606.497039999998</v>
      </c>
      <c r="AD32" s="107">
        <f t="shared" si="15"/>
        <v>34300</v>
      </c>
      <c r="AE32" s="205">
        <f>'DATOS REFERENCIALES'!$D$13</f>
        <v>2420</v>
      </c>
      <c r="AF32" s="532">
        <f>IF($H32&gt;2240,'DATOS REFERENCIALES'!D17,'DATOS REFERENCIALES'!D17/2240*$H32)</f>
        <v>3000</v>
      </c>
      <c r="AG32" s="107">
        <f>'DATOS REFERENCIALES'!$D$12</f>
        <v>420</v>
      </c>
      <c r="AH32" s="150">
        <f>SUM(AD32:AG32)</f>
        <v>40140</v>
      </c>
      <c r="AI32" s="572">
        <f>'DATOS REFERENCIALES'!D16</f>
        <v>1544</v>
      </c>
      <c r="AJ32" s="574">
        <f t="shared" si="16"/>
        <v>362.84</v>
      </c>
      <c r="AK32" s="574">
        <f t="shared" si="17"/>
        <v>1181.1600000000001</v>
      </c>
      <c r="AL32" s="575">
        <f t="shared" si="18"/>
        <v>41321.160000000003</v>
      </c>
      <c r="AO32" s="8"/>
    </row>
    <row r="33" spans="1:41" s="1" customFormat="1" ht="21.75" customHeight="1" thickBot="1" x14ac:dyDescent="0.25">
      <c r="A33" s="76">
        <v>566</v>
      </c>
      <c r="B33" s="77" t="s">
        <v>9</v>
      </c>
      <c r="C33" s="57">
        <v>0</v>
      </c>
      <c r="D33" s="24">
        <v>1</v>
      </c>
      <c r="E33" s="210"/>
      <c r="F33" s="57"/>
      <c r="G33" s="212">
        <v>56</v>
      </c>
      <c r="H33" s="57">
        <f>SUM(G33:G33)</f>
        <v>56</v>
      </c>
      <c r="I33" s="57"/>
      <c r="J33" s="57"/>
      <c r="K33" s="91">
        <f>(H33*'DATOS REFERENCIALES'!$C$4)*D33</f>
        <v>359.85599999999999</v>
      </c>
      <c r="L33" s="91"/>
      <c r="M33" s="189"/>
      <c r="N33" s="81">
        <f>LOOKUP(C33,'TABLA ANTIG.'!$A$4:$A$39,'TABLA ANTIG.'!$B$4:$B$39)*(K33+L33+M33)</f>
        <v>0</v>
      </c>
      <c r="O33" s="28">
        <f>(K33+L33+M33)*0.1</f>
        <v>35.985599999999998</v>
      </c>
      <c r="P33" s="91">
        <f>IF(D33&gt;48,'DATOS REFERENCIALES'!$D$8+('DATOS REFERENCIALES'!$F$8*10),IF(D33&lt;39,'DATOS REFERENCIALES'!$E$8*D33,((D33-'DATOS REFERENCIALES'!$I$8)*'DATOS REFERENCIALES'!$F$8)+'DATOS REFERENCIALES'!$D$8))</f>
        <v>225</v>
      </c>
      <c r="Q33" s="81">
        <f>LOOKUP(C33,'TABLA ANTIG.'!$A$4:$A$39,'TABLA ANTIG.'!$B$4:$B$39)*(P33)</f>
        <v>0</v>
      </c>
      <c r="R33" s="213">
        <v>0</v>
      </c>
      <c r="S33" s="91">
        <f>IF(D33&gt;29.99,'DATOS REFERENCIALES'!$D$14,'DATOS REFERENCIALES'!$E$14*D33)</f>
        <v>0</v>
      </c>
      <c r="T33" s="28">
        <f>K33+L33+M33+N33+O33+P33+Q33+R33+S33</f>
        <v>620.84159999999997</v>
      </c>
      <c r="U33" s="28">
        <f t="shared" si="9"/>
        <v>68.292575999999997</v>
      </c>
      <c r="V33" s="28">
        <f t="shared" si="10"/>
        <v>18.625247999999999</v>
      </c>
      <c r="W33" s="28">
        <f t="shared" si="10"/>
        <v>18.625247999999999</v>
      </c>
      <c r="X33" s="28">
        <f t="shared" si="11"/>
        <v>12.416831999999999</v>
      </c>
      <c r="Y33" s="28">
        <f t="shared" si="12"/>
        <v>27.937871999999999</v>
      </c>
      <c r="Z33" s="28">
        <f t="shared" si="13"/>
        <v>145.89777599999999</v>
      </c>
      <c r="AA33" s="81">
        <f t="shared" si="14"/>
        <v>474.94382399999995</v>
      </c>
      <c r="AB33" s="81">
        <f>IF(D33&gt;38,'DATOS REFERENCIALES'!$D$10,'DATOS REFERENCIALES'!$E$10*D33)</f>
        <v>80</v>
      </c>
      <c r="AC33" s="81">
        <f>IF(D33&gt;41,IF((('DATOS REFERENCIALES'!$D$9)-((T33-S33)-(Z33-S33*0.235)+(AB33)))&lt;0,0,((('DATOS REFERENCIALES'!$D$9)-((T33-S33)-(Z33-S33*0.235)+(AB33))))),IF((('DATOS REFERENCIALES'!$E$9*D33)-(((T33-S33)-(Z33-S33*0.235)+(AB33))))&lt;0,0,('DATOS REFERENCIALES'!$E$9*D33)-((T33-S33)-(Z33-S33*0.235)+(AB33))))</f>
        <v>302.55617600000005</v>
      </c>
      <c r="AD33" s="81">
        <f t="shared" si="15"/>
        <v>857.5</v>
      </c>
      <c r="AE33" s="169">
        <f>IF(D33&gt;'DATOS REFERENCIALES'!$I$13,'DATOS REFERENCIALES'!$D$13,('DATOS REFERENCIALES'!$E$13*D33))</f>
        <v>80.666659999999993</v>
      </c>
      <c r="AF33" s="93">
        <f>IF(D33&gt;'DATOS REFERENCIALES'!$I$17,'DATOS REFERENCIALES'!$D$17,('DATOS REFERENCIALES'!$E$17*D33))</f>
        <v>75</v>
      </c>
      <c r="AG33" s="81">
        <f>IF(D33&gt;'DATOS REFERENCIALES'!$I$12,'DATOS REFERENCIALES'!$D$12,'DATOS REFERENCIALES'!$E$12*D33)</f>
        <v>14</v>
      </c>
      <c r="AH33" s="151">
        <f>SUM(AD33:AG33)</f>
        <v>1027.1666599999999</v>
      </c>
      <c r="AI33" s="568">
        <f>IF(D33&gt;'DATOS REFERENCIALES'!$I$16,'DATOS REFERENCIALES'!$D$16,'DATOS REFERENCIALES'!$E$16*D33)</f>
        <v>51.47</v>
      </c>
      <c r="AJ33" s="28">
        <f>AI33*$AJ$8</f>
        <v>12.09545</v>
      </c>
      <c r="AK33" s="28">
        <f>AI33-AJ33</f>
        <v>39.374549999999999</v>
      </c>
      <c r="AL33" s="570">
        <f>AH33+AK33</f>
        <v>1066.5412099999999</v>
      </c>
      <c r="AO33" s="8"/>
    </row>
  </sheetData>
  <dataConsolidate/>
  <mergeCells count="103">
    <mergeCell ref="AH28:AH29"/>
    <mergeCell ref="AH30:AH31"/>
    <mergeCell ref="AH11:AH12"/>
    <mergeCell ref="AH13:AH14"/>
    <mergeCell ref="AH15:AH16"/>
    <mergeCell ref="AH26:AH27"/>
    <mergeCell ref="AH24:AH25"/>
    <mergeCell ref="K3:AA5"/>
    <mergeCell ref="AM11:AO21"/>
    <mergeCell ref="O24:O25"/>
    <mergeCell ref="AC24:AC25"/>
    <mergeCell ref="AH9:AH10"/>
    <mergeCell ref="AC9:AC10"/>
    <mergeCell ref="AD24:AD25"/>
    <mergeCell ref="AD9:AD10"/>
    <mergeCell ref="AG9:AG10"/>
    <mergeCell ref="AG24:AG25"/>
    <mergeCell ref="AF9:AF10"/>
    <mergeCell ref="AF24:AF25"/>
    <mergeCell ref="L24:L25"/>
    <mergeCell ref="M24:M25"/>
    <mergeCell ref="AL26:AL27"/>
    <mergeCell ref="AK26:AK27"/>
    <mergeCell ref="AJ26:AJ27"/>
    <mergeCell ref="A24:A25"/>
    <mergeCell ref="N24:N25"/>
    <mergeCell ref="B24:B25"/>
    <mergeCell ref="K24:K25"/>
    <mergeCell ref="U24:Y24"/>
    <mergeCell ref="A9:A10"/>
    <mergeCell ref="B9:B10"/>
    <mergeCell ref="A6:AH6"/>
    <mergeCell ref="A7:AH7"/>
    <mergeCell ref="AB8:AH8"/>
    <mergeCell ref="AE9:AE10"/>
    <mergeCell ref="D9:D10"/>
    <mergeCell ref="AE24:AE25"/>
    <mergeCell ref="C9:C10"/>
    <mergeCell ref="K9:K10"/>
    <mergeCell ref="R24:R25"/>
    <mergeCell ref="R9:R10"/>
    <mergeCell ref="O9:O10"/>
    <mergeCell ref="G9:G10"/>
    <mergeCell ref="H9:H10"/>
    <mergeCell ref="E9:E10"/>
    <mergeCell ref="F9:F10"/>
    <mergeCell ref="D24:D25"/>
    <mergeCell ref="N9:N10"/>
    <mergeCell ref="G24:G25"/>
    <mergeCell ref="H24:H25"/>
    <mergeCell ref="L9:L10"/>
    <mergeCell ref="Q9:Q10"/>
    <mergeCell ref="Q24:Q25"/>
    <mergeCell ref="C24:C25"/>
    <mergeCell ref="E24:E25"/>
    <mergeCell ref="F24:F25"/>
    <mergeCell ref="AB9:AB10"/>
    <mergeCell ref="P9:P10"/>
    <mergeCell ref="Z24:Z25"/>
    <mergeCell ref="P24:P25"/>
    <mergeCell ref="U9:Y9"/>
    <mergeCell ref="Z9:Z10"/>
    <mergeCell ref="AA9:AA10"/>
    <mergeCell ref="T9:T10"/>
    <mergeCell ref="S9:S10"/>
    <mergeCell ref="S24:S25"/>
    <mergeCell ref="AB24:AB25"/>
    <mergeCell ref="AA24:AA25"/>
    <mergeCell ref="T24:T25"/>
    <mergeCell ref="M9:M10"/>
    <mergeCell ref="I9:I10"/>
    <mergeCell ref="I24:I25"/>
    <mergeCell ref="J9:J10"/>
    <mergeCell ref="J24:J25"/>
    <mergeCell ref="AI9:AI10"/>
    <mergeCell ref="AJ9:AJ10"/>
    <mergeCell ref="AK9:AK10"/>
    <mergeCell ref="AL9:AL10"/>
    <mergeCell ref="AI11:AI12"/>
    <mergeCell ref="AJ11:AJ12"/>
    <mergeCell ref="AK11:AK12"/>
    <mergeCell ref="AL11:AL12"/>
    <mergeCell ref="AI13:AI14"/>
    <mergeCell ref="AJ13:AJ14"/>
    <mergeCell ref="AK13:AK14"/>
    <mergeCell ref="AL13:AL14"/>
    <mergeCell ref="AJ15:AJ16"/>
    <mergeCell ref="AK15:AK16"/>
    <mergeCell ref="AL15:AL16"/>
    <mergeCell ref="AI15:AI16"/>
    <mergeCell ref="AI24:AI25"/>
    <mergeCell ref="AJ24:AJ25"/>
    <mergeCell ref="AK24:AK25"/>
    <mergeCell ref="AL24:AL25"/>
    <mergeCell ref="AI26:AI27"/>
    <mergeCell ref="AI28:AI29"/>
    <mergeCell ref="AJ28:AJ29"/>
    <mergeCell ref="AK28:AK29"/>
    <mergeCell ref="AL28:AL29"/>
    <mergeCell ref="AI30:AI31"/>
    <mergeCell ref="AJ30:AJ31"/>
    <mergeCell ref="AK30:AK31"/>
    <mergeCell ref="AL30:AL31"/>
  </mergeCells>
  <pageMargins left="0.7" right="0.7" top="0.75" bottom="0.75" header="0.3" footer="0.3"/>
  <pageSetup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'DATOS REFERENCIALES'!$C$30:$C$37</xm:f>
          </x14:formula1>
          <xm:sqref>J27</xm:sqref>
        </x14:dataValidation>
        <x14:dataValidation type="list" allowBlank="1" showInputMessage="1" showErrorMessage="1">
          <x14:formula1>
            <xm:f>'DATOS REFERENCIALES'!$C$30:$C$37</xm:f>
          </x14:formula1>
          <xm:sqref>J12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63"/>
  <sheetViews>
    <sheetView topLeftCell="A40" workbookViewId="0">
      <selection activeCell="F5" sqref="F5"/>
    </sheetView>
  </sheetViews>
  <sheetFormatPr baseColWidth="10" defaultRowHeight="12.75" x14ac:dyDescent="0.2"/>
  <sheetData>
    <row r="4" spans="1:1" ht="20.25" x14ac:dyDescent="0.3">
      <c r="A4" s="165">
        <v>1</v>
      </c>
    </row>
    <row r="5" spans="1:1" ht="20.25" x14ac:dyDescent="0.3">
      <c r="A5" s="165">
        <v>2</v>
      </c>
    </row>
    <row r="6" spans="1:1" ht="20.25" x14ac:dyDescent="0.3">
      <c r="A6" s="165">
        <v>3</v>
      </c>
    </row>
    <row r="7" spans="1:1" ht="20.25" x14ac:dyDescent="0.3">
      <c r="A7" s="165">
        <v>4</v>
      </c>
    </row>
    <row r="8" spans="1:1" ht="20.25" x14ac:dyDescent="0.3">
      <c r="A8" s="165">
        <v>5</v>
      </c>
    </row>
    <row r="9" spans="1:1" ht="20.25" x14ac:dyDescent="0.3">
      <c r="A9" s="165">
        <v>6</v>
      </c>
    </row>
    <row r="10" spans="1:1" ht="20.25" x14ac:dyDescent="0.3">
      <c r="A10" s="165">
        <v>7</v>
      </c>
    </row>
    <row r="11" spans="1:1" ht="20.25" x14ac:dyDescent="0.3">
      <c r="A11" s="165">
        <v>8</v>
      </c>
    </row>
    <row r="12" spans="1:1" ht="20.25" x14ac:dyDescent="0.3">
      <c r="A12" s="165">
        <v>9</v>
      </c>
    </row>
    <row r="13" spans="1:1" ht="20.25" x14ac:dyDescent="0.3">
      <c r="A13" s="165">
        <v>10</v>
      </c>
    </row>
    <row r="14" spans="1:1" ht="20.25" x14ac:dyDescent="0.3">
      <c r="A14" s="165">
        <v>11</v>
      </c>
    </row>
    <row r="15" spans="1:1" ht="20.25" x14ac:dyDescent="0.3">
      <c r="A15" s="165">
        <v>12</v>
      </c>
    </row>
    <row r="16" spans="1:1" ht="20.25" x14ac:dyDescent="0.3">
      <c r="A16" s="165">
        <v>13</v>
      </c>
    </row>
    <row r="17" spans="1:1" ht="20.25" x14ac:dyDescent="0.3">
      <c r="A17" s="165">
        <v>14</v>
      </c>
    </row>
    <row r="18" spans="1:1" ht="20.25" x14ac:dyDescent="0.3">
      <c r="A18" s="165">
        <v>15</v>
      </c>
    </row>
    <row r="19" spans="1:1" ht="20.25" x14ac:dyDescent="0.3">
      <c r="A19" s="165">
        <v>16</v>
      </c>
    </row>
    <row r="20" spans="1:1" ht="20.25" x14ac:dyDescent="0.3">
      <c r="A20" s="165">
        <v>17</v>
      </c>
    </row>
    <row r="21" spans="1:1" ht="20.25" x14ac:dyDescent="0.3">
      <c r="A21" s="165">
        <v>18</v>
      </c>
    </row>
    <row r="22" spans="1:1" ht="20.25" x14ac:dyDescent="0.3">
      <c r="A22" s="165">
        <v>19</v>
      </c>
    </row>
    <row r="23" spans="1:1" ht="20.25" x14ac:dyDescent="0.3">
      <c r="A23" s="165">
        <v>20</v>
      </c>
    </row>
    <row r="24" spans="1:1" ht="20.25" x14ac:dyDescent="0.3">
      <c r="A24" s="165">
        <v>21</v>
      </c>
    </row>
    <row r="25" spans="1:1" ht="20.25" x14ac:dyDescent="0.3">
      <c r="A25" s="165">
        <v>22</v>
      </c>
    </row>
    <row r="26" spans="1:1" ht="20.25" x14ac:dyDescent="0.3">
      <c r="A26" s="165">
        <v>23</v>
      </c>
    </row>
    <row r="27" spans="1:1" ht="20.25" x14ac:dyDescent="0.3">
      <c r="A27" s="165">
        <v>24</v>
      </c>
    </row>
    <row r="28" spans="1:1" ht="20.25" x14ac:dyDescent="0.3">
      <c r="A28" s="165">
        <v>25</v>
      </c>
    </row>
    <row r="29" spans="1:1" x14ac:dyDescent="0.2">
      <c r="A29">
        <v>26</v>
      </c>
    </row>
    <row r="30" spans="1:1" x14ac:dyDescent="0.2">
      <c r="A30">
        <v>27</v>
      </c>
    </row>
    <row r="31" spans="1:1" x14ac:dyDescent="0.2">
      <c r="A31">
        <v>28</v>
      </c>
    </row>
    <row r="32" spans="1:1" x14ac:dyDescent="0.2">
      <c r="A32">
        <v>29</v>
      </c>
    </row>
    <row r="33" spans="1:1" x14ac:dyDescent="0.2">
      <c r="A33">
        <v>30</v>
      </c>
    </row>
    <row r="34" spans="1:1" x14ac:dyDescent="0.2">
      <c r="A34">
        <v>31</v>
      </c>
    </row>
    <row r="35" spans="1:1" x14ac:dyDescent="0.2">
      <c r="A35">
        <v>32</v>
      </c>
    </row>
    <row r="36" spans="1:1" x14ac:dyDescent="0.2">
      <c r="A36">
        <v>33</v>
      </c>
    </row>
    <row r="37" spans="1:1" x14ac:dyDescent="0.2">
      <c r="A37">
        <v>34</v>
      </c>
    </row>
    <row r="38" spans="1:1" x14ac:dyDescent="0.2">
      <c r="A38">
        <v>35</v>
      </c>
    </row>
    <row r="39" spans="1:1" x14ac:dyDescent="0.2">
      <c r="A39">
        <v>36</v>
      </c>
    </row>
    <row r="40" spans="1:1" x14ac:dyDescent="0.2">
      <c r="A40">
        <v>37</v>
      </c>
    </row>
    <row r="41" spans="1:1" x14ac:dyDescent="0.2">
      <c r="A41">
        <v>38</v>
      </c>
    </row>
    <row r="42" spans="1:1" x14ac:dyDescent="0.2">
      <c r="A42">
        <v>39</v>
      </c>
    </row>
    <row r="43" spans="1:1" x14ac:dyDescent="0.2">
      <c r="A43">
        <v>40</v>
      </c>
    </row>
    <row r="44" spans="1:1" x14ac:dyDescent="0.2">
      <c r="A44">
        <v>41</v>
      </c>
    </row>
    <row r="45" spans="1:1" x14ac:dyDescent="0.2">
      <c r="A45">
        <v>42</v>
      </c>
    </row>
    <row r="46" spans="1:1" x14ac:dyDescent="0.2">
      <c r="A46">
        <v>43</v>
      </c>
    </row>
    <row r="47" spans="1:1" x14ac:dyDescent="0.2">
      <c r="A47">
        <v>44</v>
      </c>
    </row>
    <row r="48" spans="1:1" x14ac:dyDescent="0.2">
      <c r="A48">
        <v>45</v>
      </c>
    </row>
    <row r="49" spans="1:1" x14ac:dyDescent="0.2">
      <c r="A49">
        <v>46</v>
      </c>
    </row>
    <row r="50" spans="1:1" x14ac:dyDescent="0.2">
      <c r="A50">
        <v>47</v>
      </c>
    </row>
    <row r="51" spans="1:1" x14ac:dyDescent="0.2">
      <c r="A51">
        <v>48</v>
      </c>
    </row>
    <row r="52" spans="1:1" x14ac:dyDescent="0.2">
      <c r="A52">
        <v>49</v>
      </c>
    </row>
    <row r="53" spans="1:1" x14ac:dyDescent="0.2">
      <c r="A53">
        <v>50</v>
      </c>
    </row>
    <row r="54" spans="1:1" x14ac:dyDescent="0.2">
      <c r="A54">
        <v>51</v>
      </c>
    </row>
    <row r="55" spans="1:1" x14ac:dyDescent="0.2">
      <c r="A55">
        <v>52</v>
      </c>
    </row>
    <row r="56" spans="1:1" x14ac:dyDescent="0.2">
      <c r="A56">
        <v>53</v>
      </c>
    </row>
    <row r="57" spans="1:1" x14ac:dyDescent="0.2">
      <c r="A57">
        <v>54</v>
      </c>
    </row>
    <row r="58" spans="1:1" x14ac:dyDescent="0.2">
      <c r="A58">
        <v>55</v>
      </c>
    </row>
    <row r="59" spans="1:1" x14ac:dyDescent="0.2">
      <c r="A59">
        <v>56</v>
      </c>
    </row>
    <row r="60" spans="1:1" x14ac:dyDescent="0.2">
      <c r="A60">
        <v>57</v>
      </c>
    </row>
    <row r="61" spans="1:1" x14ac:dyDescent="0.2">
      <c r="A61">
        <v>58</v>
      </c>
    </row>
    <row r="62" spans="1:1" x14ac:dyDescent="0.2">
      <c r="A62">
        <v>59</v>
      </c>
    </row>
    <row r="63" spans="1:1" x14ac:dyDescent="0.2">
      <c r="A6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45"/>
  <sheetViews>
    <sheetView zoomScale="66" zoomScaleNormal="66" workbookViewId="0">
      <selection activeCell="A6" sqref="A6:AI6"/>
    </sheetView>
  </sheetViews>
  <sheetFormatPr baseColWidth="10" defaultRowHeight="12.75" x14ac:dyDescent="0.2"/>
  <cols>
    <col min="1" max="1" width="11.5703125" bestFit="1" customWidth="1"/>
    <col min="2" max="2" width="40.5703125" bestFit="1" customWidth="1"/>
    <col min="3" max="3" width="11.5703125" bestFit="1" customWidth="1"/>
    <col min="5" max="5" width="12.7109375" hidden="1" customWidth="1"/>
    <col min="6" max="6" width="0" hidden="1" customWidth="1"/>
    <col min="7" max="7" width="11.5703125" hidden="1" customWidth="1"/>
    <col min="8" max="8" width="11.5703125" bestFit="1" customWidth="1"/>
    <col min="9" max="9" width="14" customWidth="1"/>
    <col min="10" max="10" width="15.5703125" customWidth="1"/>
    <col min="11" max="11" width="17.42578125" customWidth="1"/>
    <col min="12" max="12" width="14.7109375" customWidth="1"/>
    <col min="13" max="13" width="17.42578125" customWidth="1"/>
    <col min="14" max="14" width="16.42578125" customWidth="1"/>
    <col min="15" max="15" width="18.28515625" customWidth="1"/>
    <col min="16" max="16" width="13.42578125" bestFit="1" customWidth="1"/>
    <col min="17" max="17" width="18.140625" customWidth="1"/>
    <col min="18" max="18" width="11.5703125" hidden="1" customWidth="1"/>
    <col min="19" max="19" width="14.5703125" hidden="1" customWidth="1"/>
    <col min="20" max="20" width="14.85546875" customWidth="1"/>
    <col min="21" max="21" width="14.5703125" customWidth="1"/>
    <col min="22" max="22" width="14.140625" customWidth="1"/>
    <col min="23" max="23" width="14" customWidth="1"/>
    <col min="24" max="24" width="13" customWidth="1"/>
    <col min="25" max="25" width="13.85546875" customWidth="1"/>
    <col min="26" max="26" width="14.28515625" customWidth="1"/>
    <col min="27" max="27" width="14.85546875" customWidth="1"/>
    <col min="28" max="28" width="13.85546875" customWidth="1"/>
    <col min="29" max="29" width="14.28515625" customWidth="1"/>
    <col min="30" max="30" width="15.42578125" customWidth="1"/>
    <col min="31" max="31" width="14.85546875" customWidth="1"/>
    <col min="32" max="32" width="18.5703125" hidden="1" customWidth="1"/>
    <col min="33" max="33" width="15.28515625" customWidth="1"/>
    <col min="34" max="34" width="15.7109375" customWidth="1"/>
    <col min="35" max="35" width="14.7109375" customWidth="1"/>
    <col min="36" max="36" width="12.5703125" customWidth="1"/>
    <col min="38" max="38" width="15" customWidth="1"/>
    <col min="39" max="39" width="15.5703125" customWidth="1"/>
  </cols>
  <sheetData>
    <row r="1" spans="1:41" s="1" customFormat="1" x14ac:dyDescent="0.2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1" customFormat="1" x14ac:dyDescent="0.2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s="1" customFormat="1" ht="12.75" customHeight="1" x14ac:dyDescent="0.2">
      <c r="A3" s="10"/>
      <c r="C3" s="13"/>
      <c r="D3" s="13"/>
      <c r="E3" s="13"/>
      <c r="F3" s="13"/>
      <c r="G3" s="13"/>
      <c r="H3" s="13"/>
      <c r="I3" s="13"/>
      <c r="J3" s="13"/>
      <c r="K3" s="664" t="s">
        <v>82</v>
      </c>
      <c r="L3" s="664"/>
      <c r="M3" s="664"/>
      <c r="N3" s="664"/>
      <c r="O3" s="664"/>
      <c r="P3" s="664"/>
      <c r="Q3" s="664"/>
      <c r="R3" s="664"/>
      <c r="S3" s="664"/>
      <c r="T3" s="664"/>
      <c r="U3" s="664"/>
      <c r="V3" s="664"/>
      <c r="W3" s="664"/>
      <c r="X3" s="664"/>
      <c r="Y3" s="664"/>
      <c r="Z3" s="664"/>
      <c r="AA3" s="664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</row>
    <row r="4" spans="1:41" s="1" customFormat="1" ht="12.75" customHeight="1" x14ac:dyDescent="0.2">
      <c r="A4" s="10"/>
      <c r="C4" s="13"/>
      <c r="D4" s="13"/>
      <c r="E4" s="13"/>
      <c r="F4" s="13"/>
      <c r="G4" s="13"/>
      <c r="H4" s="13"/>
      <c r="I4" s="13"/>
      <c r="J4" s="13"/>
      <c r="K4" s="664"/>
      <c r="L4" s="664"/>
      <c r="M4" s="664"/>
      <c r="N4" s="664"/>
      <c r="O4" s="664"/>
      <c r="P4" s="664"/>
      <c r="Q4" s="664"/>
      <c r="R4" s="664"/>
      <c r="S4" s="664"/>
      <c r="T4" s="664"/>
      <c r="U4" s="664"/>
      <c r="V4" s="664"/>
      <c r="W4" s="664"/>
      <c r="X4" s="664"/>
      <c r="Y4" s="664"/>
      <c r="Z4" s="664"/>
      <c r="AA4" s="664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</row>
    <row r="5" spans="1:41" s="1" customFormat="1" ht="12.75" customHeight="1" x14ac:dyDescent="0.2">
      <c r="A5" s="10"/>
      <c r="C5" s="13"/>
      <c r="D5" s="13"/>
      <c r="E5" s="13"/>
      <c r="F5" s="13"/>
      <c r="G5" s="13"/>
      <c r="H5" s="13"/>
      <c r="I5" s="13"/>
      <c r="J5" s="13"/>
      <c r="K5" s="664"/>
      <c r="L5" s="664"/>
      <c r="M5" s="664"/>
      <c r="N5" s="664"/>
      <c r="O5" s="664"/>
      <c r="P5" s="664"/>
      <c r="Q5" s="664"/>
      <c r="R5" s="664"/>
      <c r="S5" s="664"/>
      <c r="T5" s="664"/>
      <c r="U5" s="664"/>
      <c r="V5" s="664"/>
      <c r="W5" s="664"/>
      <c r="X5" s="664"/>
      <c r="Y5" s="664"/>
      <c r="Z5" s="664"/>
      <c r="AA5" s="664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</row>
    <row r="6" spans="1:41" s="1" customFormat="1" ht="27.75" x14ac:dyDescent="0.4">
      <c r="A6" s="659" t="s">
        <v>199</v>
      </c>
      <c r="B6" s="659"/>
      <c r="C6" s="659"/>
      <c r="D6" s="659"/>
      <c r="E6" s="659"/>
      <c r="F6" s="659"/>
      <c r="G6" s="659"/>
      <c r="H6" s="659"/>
      <c r="I6" s="659"/>
      <c r="J6" s="659"/>
      <c r="K6" s="659"/>
      <c r="L6" s="659"/>
      <c r="M6" s="659"/>
      <c r="N6" s="659"/>
      <c r="O6" s="659"/>
      <c r="P6" s="659"/>
      <c r="Q6" s="659"/>
      <c r="R6" s="659"/>
      <c r="S6" s="659"/>
      <c r="T6" s="659"/>
      <c r="U6" s="659"/>
      <c r="V6" s="659"/>
      <c r="W6" s="659"/>
      <c r="X6" s="659"/>
      <c r="Y6" s="659"/>
      <c r="Z6" s="659"/>
      <c r="AA6" s="659"/>
      <c r="AB6" s="659"/>
      <c r="AC6" s="659"/>
      <c r="AD6" s="659"/>
      <c r="AE6" s="659"/>
      <c r="AF6" s="659"/>
      <c r="AG6" s="659"/>
      <c r="AH6" s="659"/>
      <c r="AI6" s="659"/>
      <c r="AJ6" s="13"/>
      <c r="AK6" s="13"/>
      <c r="AL6" s="13"/>
      <c r="AM6" s="13"/>
      <c r="AN6" s="13"/>
      <c r="AO6" s="13"/>
    </row>
    <row r="7" spans="1:41" s="1" customFormat="1" ht="18.75" thickBot="1" x14ac:dyDescent="0.3">
      <c r="A7" s="660" t="s">
        <v>83</v>
      </c>
      <c r="B7" s="661"/>
      <c r="C7" s="661"/>
      <c r="D7" s="661"/>
      <c r="E7" s="661"/>
      <c r="F7" s="661"/>
      <c r="G7" s="661"/>
      <c r="H7" s="661"/>
      <c r="I7" s="661"/>
      <c r="J7" s="661"/>
      <c r="K7" s="661"/>
      <c r="L7" s="661"/>
      <c r="M7" s="661"/>
      <c r="N7" s="661"/>
      <c r="O7" s="661"/>
      <c r="P7" s="661"/>
      <c r="Q7" s="661"/>
      <c r="R7" s="661"/>
      <c r="S7" s="661"/>
      <c r="T7" s="661"/>
      <c r="U7" s="661"/>
      <c r="V7" s="661"/>
      <c r="W7" s="661"/>
      <c r="X7" s="661"/>
      <c r="Y7" s="661"/>
      <c r="Z7" s="661"/>
      <c r="AA7" s="661"/>
      <c r="AB7" s="661"/>
      <c r="AC7" s="661"/>
      <c r="AD7" s="661"/>
      <c r="AE7" s="661"/>
      <c r="AF7" s="661"/>
      <c r="AG7" s="661"/>
      <c r="AH7" s="661"/>
      <c r="AI7" s="661"/>
      <c r="AJ7" s="13"/>
      <c r="AK7" s="13"/>
      <c r="AL7" s="13"/>
      <c r="AM7" s="13"/>
      <c r="AN7" s="13"/>
      <c r="AO7" s="13"/>
    </row>
    <row r="8" spans="1:41" ht="21" thickBot="1" x14ac:dyDescent="0.35">
      <c r="A8" s="95" t="s">
        <v>128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693" t="s">
        <v>128</v>
      </c>
      <c r="AE8" s="662"/>
      <c r="AF8" s="662"/>
      <c r="AG8" s="662"/>
      <c r="AH8" s="662"/>
      <c r="AI8" s="662"/>
      <c r="AK8" s="576">
        <v>0.23499999999999999</v>
      </c>
    </row>
    <row r="9" spans="1:41" s="2" customFormat="1" ht="26.25" customHeight="1" thickBot="1" x14ac:dyDescent="0.25">
      <c r="A9" s="689" t="s">
        <v>1</v>
      </c>
      <c r="B9" s="689" t="s">
        <v>0</v>
      </c>
      <c r="C9" s="630" t="s">
        <v>77</v>
      </c>
      <c r="D9" s="630" t="s">
        <v>119</v>
      </c>
      <c r="E9" s="630" t="s">
        <v>112</v>
      </c>
      <c r="F9" s="630" t="s">
        <v>113</v>
      </c>
      <c r="G9" s="630" t="s">
        <v>102</v>
      </c>
      <c r="H9" s="630" t="s">
        <v>79</v>
      </c>
      <c r="I9" s="629" t="s">
        <v>148</v>
      </c>
      <c r="J9" s="627" t="s">
        <v>147</v>
      </c>
      <c r="K9" s="627" t="s">
        <v>121</v>
      </c>
      <c r="L9" s="627" t="s">
        <v>146</v>
      </c>
      <c r="M9" s="627" t="s">
        <v>147</v>
      </c>
      <c r="N9" s="629" t="s">
        <v>85</v>
      </c>
      <c r="O9" s="629" t="s">
        <v>120</v>
      </c>
      <c r="P9" s="627" t="s">
        <v>86</v>
      </c>
      <c r="Q9" s="629" t="s">
        <v>101</v>
      </c>
      <c r="R9" s="631" t="s">
        <v>84</v>
      </c>
      <c r="S9" s="629" t="s">
        <v>192</v>
      </c>
      <c r="T9" s="629" t="s">
        <v>69</v>
      </c>
      <c r="U9" s="678" t="s">
        <v>59</v>
      </c>
      <c r="V9" s="679"/>
      <c r="W9" s="679"/>
      <c r="X9" s="679"/>
      <c r="Y9" s="679"/>
      <c r="Z9" s="629" t="s">
        <v>68</v>
      </c>
      <c r="AA9" s="629" t="s">
        <v>89</v>
      </c>
      <c r="AB9" s="629" t="s">
        <v>88</v>
      </c>
      <c r="AC9" s="629" t="s">
        <v>87</v>
      </c>
      <c r="AD9" s="629" t="s">
        <v>91</v>
      </c>
      <c r="AE9" s="629" t="s">
        <v>90</v>
      </c>
      <c r="AF9" s="629" t="s">
        <v>174</v>
      </c>
      <c r="AG9" s="629" t="s">
        <v>196</v>
      </c>
      <c r="AH9" s="673" t="s">
        <v>175</v>
      </c>
      <c r="AI9" s="629" t="s">
        <v>92</v>
      </c>
      <c r="AJ9" s="629" t="s">
        <v>192</v>
      </c>
      <c r="AK9" s="631" t="s">
        <v>68</v>
      </c>
      <c r="AL9" s="629" t="s">
        <v>194</v>
      </c>
      <c r="AM9" s="629" t="s">
        <v>195</v>
      </c>
      <c r="AN9" s="17"/>
      <c r="AO9" s="17"/>
    </row>
    <row r="10" spans="1:41" s="2" customFormat="1" ht="87.75" customHeight="1" thickBot="1" x14ac:dyDescent="0.25">
      <c r="A10" s="690"/>
      <c r="B10" s="690"/>
      <c r="C10" s="630"/>
      <c r="D10" s="630"/>
      <c r="E10" s="630"/>
      <c r="F10" s="630"/>
      <c r="G10" s="630"/>
      <c r="H10" s="630"/>
      <c r="I10" s="630"/>
      <c r="J10" s="628"/>
      <c r="K10" s="628"/>
      <c r="L10" s="628"/>
      <c r="M10" s="628"/>
      <c r="N10" s="630"/>
      <c r="O10" s="630"/>
      <c r="P10" s="628"/>
      <c r="Q10" s="630"/>
      <c r="R10" s="632"/>
      <c r="S10" s="630"/>
      <c r="T10" s="630"/>
      <c r="U10" s="98" t="s">
        <v>141</v>
      </c>
      <c r="V10" s="78" t="s">
        <v>61</v>
      </c>
      <c r="W10" s="78" t="s">
        <v>62</v>
      </c>
      <c r="X10" s="78" t="s">
        <v>63</v>
      </c>
      <c r="Y10" s="78" t="s">
        <v>64</v>
      </c>
      <c r="Z10" s="630"/>
      <c r="AA10" s="677"/>
      <c r="AB10" s="677"/>
      <c r="AC10" s="630"/>
      <c r="AD10" s="677"/>
      <c r="AE10" s="677"/>
      <c r="AF10" s="630"/>
      <c r="AG10" s="630"/>
      <c r="AH10" s="630"/>
      <c r="AI10" s="630"/>
      <c r="AJ10" s="630"/>
      <c r="AK10" s="632"/>
      <c r="AL10" s="630"/>
      <c r="AM10" s="630"/>
      <c r="AN10" s="17"/>
      <c r="AO10" s="17"/>
    </row>
    <row r="11" spans="1:41" s="1" customFormat="1" ht="21.75" customHeight="1" x14ac:dyDescent="0.2">
      <c r="A11" s="368">
        <v>585</v>
      </c>
      <c r="B11" s="411" t="s">
        <v>5</v>
      </c>
      <c r="C11" s="340">
        <v>0</v>
      </c>
      <c r="D11" s="340"/>
      <c r="E11" s="340"/>
      <c r="F11" s="340"/>
      <c r="G11" s="412">
        <v>1783</v>
      </c>
      <c r="H11" s="340">
        <f t="shared" ref="H11:H21" si="0">SUM(G11:G11)</f>
        <v>1783</v>
      </c>
      <c r="I11" s="340"/>
      <c r="J11" s="340"/>
      <c r="K11" s="345">
        <f>H11*'DATOS REFERENCIALES'!$C$4</f>
        <v>11457.558000000001</v>
      </c>
      <c r="L11" s="345"/>
      <c r="M11" s="345"/>
      <c r="N11" s="347">
        <f>LOOKUP(C11,'TABLA ANTIG.'!$A$4:$A$39,'TABLA ANTIG.'!$B$4:$B$39)*(K11)</f>
        <v>0</v>
      </c>
      <c r="O11" s="347">
        <f t="shared" ref="O11:O21" si="1">K11*0.1</f>
        <v>1145.7558000000001</v>
      </c>
      <c r="P11" s="345">
        <f>'DATOS REFERENCIALES'!$C$8</f>
        <v>4275</v>
      </c>
      <c r="Q11" s="347">
        <f>LOOKUP(C11,'TABLA ANTIG.'!$A$4:$A$39,'TABLA ANTIG.'!$B$4:$B$39)*(P11)</f>
        <v>0</v>
      </c>
      <c r="R11" s="351">
        <v>0</v>
      </c>
      <c r="S11" s="347">
        <f>'DATOS REFERENCIALES'!$C$14</f>
        <v>0</v>
      </c>
      <c r="T11" s="347">
        <f>K11+N11+O11+P11+Q11+R11+S11</f>
        <v>16878.313800000004</v>
      </c>
      <c r="U11" s="347">
        <f t="shared" ref="U11:U21" si="2">$T11*11%</f>
        <v>1856.6145180000003</v>
      </c>
      <c r="V11" s="347">
        <f t="shared" ref="V11:W21" si="3">$T11*3%</f>
        <v>506.34941400000008</v>
      </c>
      <c r="W11" s="347">
        <f t="shared" si="3"/>
        <v>506.34941400000008</v>
      </c>
      <c r="X11" s="347">
        <f t="shared" ref="X11:X21" si="4">$T11*2%</f>
        <v>337.56627600000007</v>
      </c>
      <c r="Y11" s="347">
        <f t="shared" ref="Y11:Y21" si="5">$T11*4.5%</f>
        <v>759.52412100000015</v>
      </c>
      <c r="Z11" s="347">
        <f t="shared" ref="Z11:Z21" si="6">SUM(U11:Y11)</f>
        <v>3966.4037430000008</v>
      </c>
      <c r="AA11" s="347">
        <f t="shared" ref="AA11:AA21" si="7">T11-Z11</f>
        <v>12911.910057000003</v>
      </c>
      <c r="AB11" s="350">
        <f>'DATOS REFERENCIALES'!$C$10</f>
        <v>1520</v>
      </c>
      <c r="AC11" s="427">
        <f>IF((IF(H11&gt;1119,('DATOS REFERENCIALES'!$C$9-(T11-U11-V11-W11-X11-Y11+AB11-L11-L11*0.235-(S11-S11*0.235))),(('DATOS REFERENCIALES'!$C$9/1120)*H11)-(K11+N11+O11+P11+Q11+R11-U11-V11-W11-X11-Y11+AB11-(L11-L11*0.235)-(S11*0.235))))&lt;0,0,IF(H11&gt;1119,(('DATOS REFERENCIALES'!$C$9)-(T11-U11-V11-W11-X11-Y11+AB11-(L11-L11*0.235)-(S11-S11*0.235))),(('DATOS REFERENCIALES'!$C$9/1120)*H11)-(K11+N11+O11+P11+Q11+R11-U11-V11-W11-X11-Y11+AB11-(L11-L11*0.235)-(S11*0.235))))</f>
        <v>2718.0899429999972</v>
      </c>
      <c r="AD11" s="351">
        <f t="shared" ref="AD11:AD21" si="8">SUM(AA11:AC11)</f>
        <v>17150</v>
      </c>
      <c r="AE11" s="352">
        <f>'DATOS REFERENCIALES'!$C$13</f>
        <v>1210</v>
      </c>
      <c r="AF11" s="374"/>
      <c r="AG11" s="351">
        <f>IF($H11&gt;1119,'DATOS REFERENCIALES'!C17,'DATOS REFERENCIALES'!C17/1120*$H11)</f>
        <v>1500</v>
      </c>
      <c r="AH11" s="350">
        <f>'DATOS REFERENCIALES'!$C$12</f>
        <v>210</v>
      </c>
      <c r="AI11" s="633">
        <f>SUM(AD11:AH11)+SUM(AD12:AH12)</f>
        <v>21371.634270089999</v>
      </c>
      <c r="AJ11" s="613">
        <f>'DATOS REFERENCIALES'!C16</f>
        <v>772</v>
      </c>
      <c r="AK11" s="633">
        <f>AJ11*$AK$8</f>
        <v>181.42</v>
      </c>
      <c r="AL11" s="633">
        <f>AJ11-AK11</f>
        <v>590.58000000000004</v>
      </c>
      <c r="AM11" s="635">
        <f>AI11+AL11</f>
        <v>21962.21427009</v>
      </c>
      <c r="AN11" s="17"/>
      <c r="AO11" s="17"/>
    </row>
    <row r="12" spans="1:41" s="1" customFormat="1" ht="22.5" customHeight="1" thickBot="1" x14ac:dyDescent="0.25">
      <c r="A12" s="375">
        <v>585</v>
      </c>
      <c r="B12" s="413" t="s">
        <v>5</v>
      </c>
      <c r="C12" s="512">
        <f>IF(C11&gt;0,C11,0)</f>
        <v>0</v>
      </c>
      <c r="D12" s="355"/>
      <c r="E12" s="355"/>
      <c r="F12" s="355"/>
      <c r="G12" s="414"/>
      <c r="H12" s="355"/>
      <c r="I12" s="355">
        <v>133.72999999999999</v>
      </c>
      <c r="J12" s="602" t="s">
        <v>150</v>
      </c>
      <c r="K12" s="360"/>
      <c r="L12" s="360">
        <f>I12*'DATOS REFERENCIALES'!$C$4</f>
        <v>859.34897999999998</v>
      </c>
      <c r="M12" s="360">
        <f>IF(J12='DATOS REFERENCIALES'!$C$30,K11*'DATOS REFERENCIALES'!$D$30,IF(J12='DATOS REFERENCIALES'!$C$31,('DATOS REFERENCIALES'!$D$31*K11),IF(J12='DATOS REFERENCIALES'!$C$32,('DATOS REFERENCIALES'!$D$32*K11),IF(J12='DATOS REFERENCIALES'!$C$33,('DATOS REFERENCIALES'!$D$33*K11),IF(J12='DATOS REFERENCIALES'!$C$34,('DATOS REFERENCIALES'!$D$34*K11),IF(J12='DATOS REFERENCIALES'!$C$35,('DATOS REFERENCIALES'!$D$35*K11),IF(J12='DATOS REFERENCIALES'!$C$36,('DATOS REFERENCIALES'!$D$36*K11),IF(J12='DATOS REFERENCIALES'!$C$37,('DATOS REFERENCIALES'!$D$37*K11),0))))))))</f>
        <v>687.45348000000001</v>
      </c>
      <c r="N12" s="362">
        <f>LOOKUP(C12,'TABLA ANTIG.'!$A$4:$A$39,'TABLA ANTIG.'!$B$4:$B$39)*(L12+M12)</f>
        <v>0</v>
      </c>
      <c r="O12" s="362">
        <f>(L12+M12)*0.1</f>
        <v>154.68024600000001</v>
      </c>
      <c r="P12" s="360"/>
      <c r="Q12" s="362"/>
      <c r="R12" s="361"/>
      <c r="S12" s="362"/>
      <c r="T12" s="362">
        <f>L12+M12+N12+O12+P12+Q12+R12</f>
        <v>1701.4827059999998</v>
      </c>
      <c r="U12" s="365">
        <f t="shared" si="2"/>
        <v>187.16309765999998</v>
      </c>
      <c r="V12" s="362">
        <f t="shared" si="3"/>
        <v>51.044481179999991</v>
      </c>
      <c r="W12" s="365">
        <f t="shared" si="3"/>
        <v>51.044481179999991</v>
      </c>
      <c r="X12" s="362">
        <f>$T12*2%</f>
        <v>34.029654119999996</v>
      </c>
      <c r="Y12" s="362">
        <f t="shared" si="5"/>
        <v>76.566721769999987</v>
      </c>
      <c r="Z12" s="362">
        <f t="shared" si="6"/>
        <v>399.84843590999992</v>
      </c>
      <c r="AA12" s="366">
        <f t="shared" si="7"/>
        <v>1301.63427009</v>
      </c>
      <c r="AB12" s="362"/>
      <c r="AC12" s="362"/>
      <c r="AD12" s="361">
        <f t="shared" si="8"/>
        <v>1301.63427009</v>
      </c>
      <c r="AE12" s="367"/>
      <c r="AF12" s="380"/>
      <c r="AG12" s="361"/>
      <c r="AH12" s="362"/>
      <c r="AI12" s="634"/>
      <c r="AJ12" s="614"/>
      <c r="AK12" s="634"/>
      <c r="AL12" s="634"/>
      <c r="AM12" s="636"/>
      <c r="AN12" s="17"/>
      <c r="AO12" s="17"/>
    </row>
    <row r="13" spans="1:41" s="1" customFormat="1" ht="24" customHeight="1" x14ac:dyDescent="0.2">
      <c r="A13" s="399">
        <v>840</v>
      </c>
      <c r="B13" s="278" t="s">
        <v>3</v>
      </c>
      <c r="C13" s="279">
        <v>0</v>
      </c>
      <c r="D13" s="279"/>
      <c r="E13" s="279"/>
      <c r="F13" s="279"/>
      <c r="G13" s="280">
        <v>1545</v>
      </c>
      <c r="H13" s="279">
        <f t="shared" si="0"/>
        <v>1545</v>
      </c>
      <c r="I13" s="279"/>
      <c r="J13" s="279"/>
      <c r="K13" s="281">
        <f>H13*'DATOS REFERENCIALES'!$C$4</f>
        <v>9928.17</v>
      </c>
      <c r="L13" s="281"/>
      <c r="M13" s="281"/>
      <c r="N13" s="283">
        <f>LOOKUP(C13,'TABLA ANTIG.'!$A$4:$A$39,'TABLA ANTIG.'!$B$4:$B$39)*(K13)</f>
        <v>0</v>
      </c>
      <c r="O13" s="283">
        <f t="shared" si="1"/>
        <v>992.81700000000001</v>
      </c>
      <c r="P13" s="281">
        <f>'DATOS REFERENCIALES'!$C$8</f>
        <v>4275</v>
      </c>
      <c r="Q13" s="283">
        <f>LOOKUP(C13,'TABLA ANTIG.'!$A$4:$A$39,'TABLA ANTIG.'!$B$4:$B$39)*(P13)</f>
        <v>0</v>
      </c>
      <c r="R13" s="419">
        <v>0</v>
      </c>
      <c r="S13" s="283">
        <f>'DATOS REFERENCIALES'!$C$14</f>
        <v>0</v>
      </c>
      <c r="T13" s="420">
        <f>K13+N13+O13+P13+Q13+R13+S13</f>
        <v>15195.987000000001</v>
      </c>
      <c r="U13" s="420">
        <f t="shared" si="2"/>
        <v>1671.5585700000001</v>
      </c>
      <c r="V13" s="420">
        <f t="shared" si="3"/>
        <v>455.87961000000001</v>
      </c>
      <c r="W13" s="420">
        <f t="shared" si="3"/>
        <v>455.87961000000001</v>
      </c>
      <c r="X13" s="420">
        <f t="shared" si="4"/>
        <v>303.91974000000005</v>
      </c>
      <c r="Y13" s="420">
        <f t="shared" si="5"/>
        <v>683.81941500000005</v>
      </c>
      <c r="Z13" s="420">
        <f t="shared" si="6"/>
        <v>3571.0569450000003</v>
      </c>
      <c r="AA13" s="420">
        <f t="shared" si="7"/>
        <v>11624.930055000001</v>
      </c>
      <c r="AB13" s="421">
        <f>'DATOS REFERENCIALES'!$C$10</f>
        <v>1520</v>
      </c>
      <c r="AC13" s="420">
        <f>IF((IF(H13&gt;1119,('DATOS REFERENCIALES'!$C$9-(T13-U13-V13-W13-X13-Y13+AB13-L13-L13*0.235-(S13-S13*0.235))),(('DATOS REFERENCIALES'!$C$9/1120)*H13)-(K13+N13+O13+P13+Q13+R13-U13-V13-W13-X13-Y13+AB13-(L13-L13*0.235)-(S13*0.235))))&lt;0,0,IF(H13&gt;1119,(('DATOS REFERENCIALES'!$C$9)-(T13-U13-V13-W13-X13-Y13+AB13-(L13-L13*0.235)-(S13-S13*0.235))),(('DATOS REFERENCIALES'!$C$9/1120)*H13)-(K13+N13+O13+P13+Q13+R13-U13-V13-W13-X13-Y13+AB13-(L13-L13*0.235)-(S13*0.235))))</f>
        <v>4005.0699449999993</v>
      </c>
      <c r="AD13" s="419">
        <f t="shared" si="8"/>
        <v>17150</v>
      </c>
      <c r="AE13" s="533">
        <f>'DATOS REFERENCIALES'!$C$13</f>
        <v>1210</v>
      </c>
      <c r="AF13" s="404"/>
      <c r="AG13" s="285">
        <f>IF($H13&gt;1119,'DATOS REFERENCIALES'!C17,'DATOS REFERENCIALES'!C17/1120*$H13)</f>
        <v>1500</v>
      </c>
      <c r="AH13" s="421">
        <f>'DATOS REFERENCIALES'!$C$12</f>
        <v>210</v>
      </c>
      <c r="AI13" s="639">
        <f>SUM(AD13:AH13)+SUM(AD14:AH14)</f>
        <v>20696.61866652</v>
      </c>
      <c r="AJ13" s="637">
        <f>'DATOS REFERENCIALES'!C16</f>
        <v>772</v>
      </c>
      <c r="AK13" s="639">
        <f t="shared" ref="AK13:AK21" si="9">AJ13*$AK$8</f>
        <v>181.42</v>
      </c>
      <c r="AL13" s="639">
        <f t="shared" ref="AL13:AL21" si="10">AJ13-AK13</f>
        <v>590.58000000000004</v>
      </c>
      <c r="AM13" s="641">
        <f>AI13+AL13</f>
        <v>21287.198666520002</v>
      </c>
      <c r="AN13" s="17"/>
      <c r="AO13" s="17"/>
    </row>
    <row r="14" spans="1:41" s="1" customFormat="1" ht="28.5" customHeight="1" thickBot="1" x14ac:dyDescent="0.25">
      <c r="A14" s="405">
        <v>840</v>
      </c>
      <c r="B14" s="422" t="s">
        <v>3</v>
      </c>
      <c r="C14" s="291">
        <f>IF(C13&gt;0,C13,0)</f>
        <v>0</v>
      </c>
      <c r="D14" s="331"/>
      <c r="E14" s="331"/>
      <c r="F14" s="331"/>
      <c r="G14" s="423"/>
      <c r="H14" s="331"/>
      <c r="I14" s="331">
        <v>115.88</v>
      </c>
      <c r="J14" s="424"/>
      <c r="K14" s="335"/>
      <c r="L14" s="335">
        <f>I14*'DATOS REFERENCIALES'!$C$4</f>
        <v>744.64487999999994</v>
      </c>
      <c r="M14" s="335"/>
      <c r="N14" s="302">
        <f>LOOKUP(C14,'TABLA ANTIG.'!$A$4:$A$39,'TABLA ANTIG.'!$B$4:$B$39)*(L14+M14)</f>
        <v>0</v>
      </c>
      <c r="O14" s="302">
        <f>(L14+M14)*0.1</f>
        <v>74.464488000000003</v>
      </c>
      <c r="P14" s="335"/>
      <c r="Q14" s="302"/>
      <c r="R14" s="300"/>
      <c r="S14" s="336"/>
      <c r="T14" s="302">
        <f>L14+M14+N14+O14+P14+Q14+R14</f>
        <v>819.1093679999999</v>
      </c>
      <c r="U14" s="336">
        <f t="shared" si="2"/>
        <v>90.102030479999996</v>
      </c>
      <c r="V14" s="302">
        <f t="shared" si="3"/>
        <v>24.573281039999998</v>
      </c>
      <c r="W14" s="336">
        <f t="shared" si="3"/>
        <v>24.573281039999998</v>
      </c>
      <c r="X14" s="302">
        <f>$T14*2%</f>
        <v>16.38218736</v>
      </c>
      <c r="Y14" s="302">
        <f t="shared" si="5"/>
        <v>36.859921559999997</v>
      </c>
      <c r="Z14" s="302">
        <f t="shared" si="6"/>
        <v>192.49070147999998</v>
      </c>
      <c r="AA14" s="337">
        <f t="shared" si="7"/>
        <v>626.61866651999992</v>
      </c>
      <c r="AB14" s="302"/>
      <c r="AC14" s="302"/>
      <c r="AD14" s="300">
        <f t="shared" si="8"/>
        <v>626.61866651999992</v>
      </c>
      <c r="AE14" s="531"/>
      <c r="AF14" s="410"/>
      <c r="AG14" s="300"/>
      <c r="AH14" s="302"/>
      <c r="AI14" s="640"/>
      <c r="AJ14" s="638"/>
      <c r="AK14" s="640"/>
      <c r="AL14" s="640"/>
      <c r="AM14" s="642"/>
      <c r="AN14" s="17"/>
      <c r="AO14" s="17"/>
    </row>
    <row r="15" spans="1:41" s="1" customFormat="1" ht="22.5" customHeight="1" x14ac:dyDescent="0.2">
      <c r="A15" s="381">
        <v>846</v>
      </c>
      <c r="B15" s="304" t="s">
        <v>4</v>
      </c>
      <c r="C15" s="305">
        <v>0</v>
      </c>
      <c r="D15" s="305"/>
      <c r="E15" s="305"/>
      <c r="F15" s="305"/>
      <c r="G15" s="306">
        <v>1307</v>
      </c>
      <c r="H15" s="305">
        <f t="shared" si="0"/>
        <v>1307</v>
      </c>
      <c r="I15" s="305"/>
      <c r="J15" s="305"/>
      <c r="K15" s="307">
        <f>H15*'DATOS REFERENCIALES'!$C$4</f>
        <v>8398.7820000000011</v>
      </c>
      <c r="L15" s="307"/>
      <c r="M15" s="307"/>
      <c r="N15" s="309">
        <f>LOOKUP(C15,'TABLA ANTIG.'!$A$4:$A$39,'TABLA ANTIG.'!$B$4:$B$39)*(K15)</f>
        <v>0</v>
      </c>
      <c r="O15" s="309">
        <f t="shared" si="1"/>
        <v>839.87820000000011</v>
      </c>
      <c r="P15" s="307">
        <f>'DATOS REFERENCIALES'!$C$8</f>
        <v>4275</v>
      </c>
      <c r="Q15" s="309">
        <f>LOOKUP(C15,'TABLA ANTIG.'!$A$4:$A$39,'TABLA ANTIG.'!$B$4:$B$39)*(P15)</f>
        <v>0</v>
      </c>
      <c r="R15" s="415">
        <v>0</v>
      </c>
      <c r="S15" s="309">
        <f>'DATOS REFERENCIALES'!$C$14</f>
        <v>0</v>
      </c>
      <c r="T15" s="416">
        <f>K15+N15+O15+P15+Q15+R15+S15</f>
        <v>13513.660200000002</v>
      </c>
      <c r="U15" s="416">
        <f t="shared" si="2"/>
        <v>1486.5026220000002</v>
      </c>
      <c r="V15" s="416">
        <f t="shared" si="3"/>
        <v>405.40980600000006</v>
      </c>
      <c r="W15" s="416">
        <f t="shared" si="3"/>
        <v>405.40980600000006</v>
      </c>
      <c r="X15" s="416">
        <f t="shared" si="4"/>
        <v>270.27320400000002</v>
      </c>
      <c r="Y15" s="416">
        <f t="shared" si="5"/>
        <v>608.11470900000006</v>
      </c>
      <c r="Z15" s="416">
        <f t="shared" si="6"/>
        <v>3175.7101470000002</v>
      </c>
      <c r="AA15" s="416">
        <f t="shared" si="7"/>
        <v>10337.950053000002</v>
      </c>
      <c r="AB15" s="417">
        <f>'DATOS REFERENCIALES'!$C$10</f>
        <v>1520</v>
      </c>
      <c r="AC15" s="416">
        <f>IF((IF(H15&gt;1119,('DATOS REFERENCIALES'!$C$9-(T15-U15-V15-W15-X15-Y15+AB15-L15-L15*0.235-(S15-S15*0.235))),(('DATOS REFERENCIALES'!$C$9/1120)*H15)-(K15+N15+O15+P15+Q15+R15-U15-V15-W15-X15-Y15+AB15-(L15-L15*0.235)-(S15*0.235))))&lt;0,0,IF(H15&gt;1119,(('DATOS REFERENCIALES'!$C$9)-(T15-U15-V15-W15-X15-Y15+AB15-(L15-L15*0.235)-(S15-S15*0.235))),(('DATOS REFERENCIALES'!$C$9/1120)*H15)-(K15+N15+O15+P15+Q15+R15-U15-V15-W15-X15-Y15+AB15-(L15-L15*0.235)-(S15*0.235))))</f>
        <v>5292.0499469999959</v>
      </c>
      <c r="AD15" s="415">
        <f t="shared" si="8"/>
        <v>17150</v>
      </c>
      <c r="AE15" s="534">
        <f>'DATOS REFERENCIALES'!$C$13</f>
        <v>1210</v>
      </c>
      <c r="AF15" s="387"/>
      <c r="AG15" s="415">
        <f>IF($H15&gt;1119,'DATOS REFERENCIALES'!C17,'DATOS REFERENCIALES'!C17/1120*$H15)</f>
        <v>1500</v>
      </c>
      <c r="AH15" s="417">
        <f>'DATOS REFERENCIALES'!$C$12</f>
        <v>210</v>
      </c>
      <c r="AI15" s="623">
        <f>SUM(AD15:AH15)+SUM(AD16:AH16)</f>
        <v>20600.09516637</v>
      </c>
      <c r="AJ15" s="621">
        <f>'DATOS REFERENCIALES'!C16</f>
        <v>772</v>
      </c>
      <c r="AK15" s="623">
        <f t="shared" si="9"/>
        <v>181.42</v>
      </c>
      <c r="AL15" s="623">
        <f t="shared" si="10"/>
        <v>590.58000000000004</v>
      </c>
      <c r="AM15" s="625">
        <f>AI15+AL15</f>
        <v>21190.675166370002</v>
      </c>
      <c r="AN15" s="17"/>
      <c r="AO15" s="17"/>
    </row>
    <row r="16" spans="1:41" s="1" customFormat="1" ht="24" customHeight="1" thickBot="1" x14ac:dyDescent="0.25">
      <c r="A16" s="388">
        <v>846</v>
      </c>
      <c r="B16" s="316" t="s">
        <v>4</v>
      </c>
      <c r="C16" s="317">
        <f>IF(C15&gt;0,C15,0)</f>
        <v>0</v>
      </c>
      <c r="D16" s="317"/>
      <c r="E16" s="317"/>
      <c r="F16" s="317"/>
      <c r="G16" s="318"/>
      <c r="H16" s="317"/>
      <c r="I16" s="317">
        <v>98.03</v>
      </c>
      <c r="J16" s="418"/>
      <c r="K16" s="319"/>
      <c r="L16" s="319">
        <f>I16*'DATOS REFERENCIALES'!$C$4</f>
        <v>629.94078000000002</v>
      </c>
      <c r="M16" s="319"/>
      <c r="N16" s="323">
        <f>LOOKUP(C16,'TABLA ANTIG.'!$A$4:$A$39,'TABLA ANTIG.'!$B$4:$B$39)*(L16+M16)</f>
        <v>0</v>
      </c>
      <c r="O16" s="323">
        <f>(L16+M16)*0.1</f>
        <v>62.994078000000002</v>
      </c>
      <c r="P16" s="319"/>
      <c r="Q16" s="323"/>
      <c r="R16" s="325"/>
      <c r="S16" s="324"/>
      <c r="T16" s="323">
        <f>L16+M16+N16+O16+P16+Q16+R16</f>
        <v>692.93485800000008</v>
      </c>
      <c r="U16" s="324">
        <f t="shared" si="2"/>
        <v>76.222834380000009</v>
      </c>
      <c r="V16" s="323">
        <f t="shared" si="3"/>
        <v>20.788045740000001</v>
      </c>
      <c r="W16" s="324">
        <f t="shared" si="3"/>
        <v>20.788045740000001</v>
      </c>
      <c r="X16" s="323">
        <f>$T16*2%</f>
        <v>13.858697160000002</v>
      </c>
      <c r="Y16" s="323">
        <f t="shared" si="5"/>
        <v>31.182068610000002</v>
      </c>
      <c r="Z16" s="323">
        <f t="shared" si="6"/>
        <v>162.83969163</v>
      </c>
      <c r="AA16" s="326">
        <f t="shared" si="7"/>
        <v>530.09516637000002</v>
      </c>
      <c r="AB16" s="323"/>
      <c r="AC16" s="323"/>
      <c r="AD16" s="325">
        <f t="shared" si="8"/>
        <v>530.09516637000002</v>
      </c>
      <c r="AE16" s="327"/>
      <c r="AF16" s="425"/>
      <c r="AG16" s="325"/>
      <c r="AH16" s="323"/>
      <c r="AI16" s="663"/>
      <c r="AJ16" s="644"/>
      <c r="AK16" s="624"/>
      <c r="AL16" s="624"/>
      <c r="AM16" s="643"/>
      <c r="AN16" s="17"/>
      <c r="AO16" s="17"/>
    </row>
    <row r="17" spans="1:43" s="1" customFormat="1" ht="21.75" customHeight="1" x14ac:dyDescent="0.2">
      <c r="A17" s="220">
        <v>847</v>
      </c>
      <c r="B17" s="162" t="s">
        <v>70</v>
      </c>
      <c r="C17" s="120">
        <v>0</v>
      </c>
      <c r="D17" s="216"/>
      <c r="E17" s="216"/>
      <c r="F17" s="216"/>
      <c r="G17" s="217">
        <v>1120</v>
      </c>
      <c r="H17" s="190">
        <f t="shared" si="0"/>
        <v>1120</v>
      </c>
      <c r="I17" s="190"/>
      <c r="J17" s="190"/>
      <c r="K17" s="106">
        <f>H17*'DATOS REFERENCIALES'!$C$4</f>
        <v>7197.12</v>
      </c>
      <c r="L17" s="106"/>
      <c r="M17" s="106"/>
      <c r="N17" s="107">
        <f>LOOKUP(C17,'TABLA ANTIG.'!$A$4:$A$39,'TABLA ANTIG.'!$B$4:$B$39)*(K17)</f>
        <v>0</v>
      </c>
      <c r="O17" s="114">
        <f t="shared" si="1"/>
        <v>719.71199999999999</v>
      </c>
      <c r="P17" s="106">
        <f>'DATOS REFERENCIALES'!$C$8</f>
        <v>4275</v>
      </c>
      <c r="Q17" s="107">
        <f>LOOKUP(C17,'TABLA ANTIG.'!$A$4:$A$39,'TABLA ANTIG.'!$B$4:$B$39)*(P17)</f>
        <v>0</v>
      </c>
      <c r="R17" s="27">
        <v>0</v>
      </c>
      <c r="S17" s="197">
        <f>'DATOS REFERENCIALES'!$C$14</f>
        <v>0</v>
      </c>
      <c r="T17" s="27">
        <f>K17+N17+O17+P17+Q17+R17+S17</f>
        <v>12191.832</v>
      </c>
      <c r="U17" s="27">
        <f t="shared" si="2"/>
        <v>1341.1015199999999</v>
      </c>
      <c r="V17" s="27">
        <f t="shared" si="3"/>
        <v>365.75495999999998</v>
      </c>
      <c r="W17" s="27">
        <f t="shared" si="3"/>
        <v>365.75495999999998</v>
      </c>
      <c r="X17" s="27">
        <f t="shared" si="4"/>
        <v>243.83664000000002</v>
      </c>
      <c r="Y17" s="27">
        <f t="shared" si="5"/>
        <v>548.63243999999997</v>
      </c>
      <c r="Z17" s="27">
        <f t="shared" si="6"/>
        <v>2865.0805199999995</v>
      </c>
      <c r="AA17" s="80">
        <f t="shared" si="7"/>
        <v>9326.7514800000008</v>
      </c>
      <c r="AB17" s="148">
        <f>'DATOS REFERENCIALES'!$C$10</f>
        <v>1520</v>
      </c>
      <c r="AC17" s="80">
        <f>IF((IF(H17&gt;1119,('DATOS REFERENCIALES'!$C$9-(T17-U17-V17-W17-X17-Y17+AB17-L17-L17*0.235-(S17-S17*0.235))),(('DATOS REFERENCIALES'!$C$9/1120)*H17)-(K17+N17+O17+P17+Q17+R17-U17-V17-W17-X17-Y17+AB17-(L17-L17*0.235)-(S17*0.235))))&lt;0,0,IF(H17&gt;1119,(('DATOS REFERENCIALES'!$C$9)-(T17-U17-V17-W17-X17-Y17+AB17-(L17-L17*0.235)-(S17-S17*0.235))),(('DATOS REFERENCIALES'!$C$9/1120)*H17)-(K17+N17+O17+P17+Q17+R17-U17-V17-W17-X17-Y17+AB17-(L17-L17*0.235)-(S17*0.235))))</f>
        <v>6303.2485199999992</v>
      </c>
      <c r="AD17" s="131">
        <f t="shared" si="8"/>
        <v>17150</v>
      </c>
      <c r="AE17" s="92">
        <f>'DATOS REFERENCIALES'!$C$13</f>
        <v>1210</v>
      </c>
      <c r="AF17" s="272"/>
      <c r="AG17" s="131">
        <f>IF($H17&gt;1119,'DATOS REFERENCIALES'!C17,'DATOS REFERENCIALES'!C17/1120*$H17)</f>
        <v>1500</v>
      </c>
      <c r="AH17" s="148">
        <f>'DATOS REFERENCIALES'!$C$12</f>
        <v>210</v>
      </c>
      <c r="AI17" s="590">
        <f>SUM(AD17:AH17)</f>
        <v>20070</v>
      </c>
      <c r="AJ17" s="587">
        <f>'DATOS REFERENCIALES'!$C$16</f>
        <v>772</v>
      </c>
      <c r="AK17" s="588">
        <f t="shared" si="9"/>
        <v>181.42</v>
      </c>
      <c r="AL17" s="588">
        <f t="shared" si="10"/>
        <v>590.58000000000004</v>
      </c>
      <c r="AM17" s="589">
        <f>AI17+AL17</f>
        <v>20660.580000000002</v>
      </c>
      <c r="AN17" s="17"/>
      <c r="AO17" s="17"/>
    </row>
    <row r="18" spans="1:43" s="1" customFormat="1" ht="20.25" customHeight="1" x14ac:dyDescent="0.2">
      <c r="A18" s="186">
        <v>848</v>
      </c>
      <c r="B18" s="184" t="s">
        <v>80</v>
      </c>
      <c r="C18" s="23">
        <v>0</v>
      </c>
      <c r="D18" s="30"/>
      <c r="E18" s="30"/>
      <c r="F18" s="30"/>
      <c r="G18" s="55">
        <v>1120</v>
      </c>
      <c r="H18" s="37">
        <f t="shared" si="0"/>
        <v>1120</v>
      </c>
      <c r="I18" s="37"/>
      <c r="J18" s="37"/>
      <c r="K18" s="90">
        <f>H18*'DATOS REFERENCIALES'!$C$4</f>
        <v>7197.12</v>
      </c>
      <c r="L18" s="90"/>
      <c r="M18" s="90"/>
      <c r="N18" s="80">
        <f>LOOKUP(C18,'TABLA ANTIG.'!$A$4:$A$39,'TABLA ANTIG.'!$B$4:$B$39)*(K18)</f>
        <v>0</v>
      </c>
      <c r="O18" s="27">
        <f t="shared" si="1"/>
        <v>719.71199999999999</v>
      </c>
      <c r="P18" s="90">
        <f>'DATOS REFERENCIALES'!$C$8</f>
        <v>4275</v>
      </c>
      <c r="Q18" s="80">
        <f>LOOKUP(C18,'TABLA ANTIG.'!$A$4:$A$39,'TABLA ANTIG.'!$B$4:$B$39)*(P18)</f>
        <v>0</v>
      </c>
      <c r="R18" s="27">
        <v>0</v>
      </c>
      <c r="S18" s="80">
        <f>'DATOS REFERENCIALES'!$C$14</f>
        <v>0</v>
      </c>
      <c r="T18" s="27">
        <f>K18+N18+O18+P18+Q18+R18+S18</f>
        <v>12191.832</v>
      </c>
      <c r="U18" s="27">
        <f t="shared" si="2"/>
        <v>1341.1015199999999</v>
      </c>
      <c r="V18" s="27">
        <f t="shared" si="3"/>
        <v>365.75495999999998</v>
      </c>
      <c r="W18" s="27">
        <f t="shared" si="3"/>
        <v>365.75495999999998</v>
      </c>
      <c r="X18" s="27">
        <f t="shared" si="4"/>
        <v>243.83664000000002</v>
      </c>
      <c r="Y18" s="27">
        <f t="shared" si="5"/>
        <v>548.63243999999997</v>
      </c>
      <c r="Z18" s="27">
        <f t="shared" si="6"/>
        <v>2865.0805199999995</v>
      </c>
      <c r="AA18" s="80">
        <f t="shared" si="7"/>
        <v>9326.7514800000008</v>
      </c>
      <c r="AB18" s="148">
        <f>'DATOS REFERENCIALES'!$C$10</f>
        <v>1520</v>
      </c>
      <c r="AC18" s="80">
        <f>IF((IF(H18&gt;1119,('DATOS REFERENCIALES'!$C$9-(T18-U18-V18-W18-X18-Y18+AB18-L18-L18*0.235-(S18-S18*0.235))),(('DATOS REFERENCIALES'!$C$9/1120)*H18)-(K18+N18+O18+P18+Q18+R18-U18-V18-W18-X18-Y18+AB18-(L18-L18*0.235)-(S18*0.235))))&lt;0,0,IF(H18&gt;1119,(('DATOS REFERENCIALES'!$C$9)-(T18-U18-V18-W18-X18-Y18+AB18-(L18-L18*0.235)-(S18-S18*0.235))),(('DATOS REFERENCIALES'!$C$9/1120)*H18)-(K18+N18+O18+P18+Q18+R18-U18-V18-W18-X18-Y18+AB18-(L18-L18*0.235)-(S18*0.235))))</f>
        <v>6303.2485199999992</v>
      </c>
      <c r="AD18" s="131">
        <f t="shared" si="8"/>
        <v>17150</v>
      </c>
      <c r="AE18" s="92">
        <f>'DATOS REFERENCIALES'!$C$13</f>
        <v>1210</v>
      </c>
      <c r="AF18" s="275"/>
      <c r="AG18" s="131">
        <f>IF($H18&gt;1119,'DATOS REFERENCIALES'!C17,'DATOS REFERENCIALES'!C17/1120*$H18)</f>
        <v>1500</v>
      </c>
      <c r="AH18" s="148">
        <f>'DATOS REFERENCIALES'!$C$12</f>
        <v>210</v>
      </c>
      <c r="AI18" s="148">
        <f>SUM(AD18:AH18)</f>
        <v>20070</v>
      </c>
      <c r="AJ18" s="567">
        <f>'DATOS REFERENCIALES'!$C$16</f>
        <v>772</v>
      </c>
      <c r="AK18" s="27">
        <f t="shared" si="9"/>
        <v>181.42</v>
      </c>
      <c r="AL18" s="27">
        <f t="shared" si="10"/>
        <v>590.58000000000004</v>
      </c>
      <c r="AM18" s="569">
        <f>AI18+AL18</f>
        <v>20660.580000000002</v>
      </c>
      <c r="AN18" s="17"/>
      <c r="AO18" s="17"/>
    </row>
    <row r="19" spans="1:43" s="1" customFormat="1" ht="21" customHeight="1" x14ac:dyDescent="0.2">
      <c r="A19" s="75">
        <v>875</v>
      </c>
      <c r="B19" s="185" t="s">
        <v>94</v>
      </c>
      <c r="C19" s="23">
        <v>0</v>
      </c>
      <c r="D19" s="30"/>
      <c r="E19" s="30"/>
      <c r="F19" s="30"/>
      <c r="G19" s="55">
        <v>1120</v>
      </c>
      <c r="H19" s="37">
        <f t="shared" si="0"/>
        <v>1120</v>
      </c>
      <c r="I19" s="37"/>
      <c r="J19" s="37"/>
      <c r="K19" s="90">
        <f>H19*'DATOS REFERENCIALES'!$C$4</f>
        <v>7197.12</v>
      </c>
      <c r="L19" s="90"/>
      <c r="M19" s="90"/>
      <c r="N19" s="80">
        <f>LOOKUP(C19,'TABLA ANTIG.'!$A$4:$A$39,'TABLA ANTIG.'!$B$4:$B$39)*(K19)</f>
        <v>0</v>
      </c>
      <c r="O19" s="27">
        <f t="shared" si="1"/>
        <v>719.71199999999999</v>
      </c>
      <c r="P19" s="90">
        <f>'DATOS REFERENCIALES'!$C$8</f>
        <v>4275</v>
      </c>
      <c r="Q19" s="80">
        <f>LOOKUP(C19,'TABLA ANTIG.'!$A$4:$A$39,'TABLA ANTIG.'!$B$4:$B$39)*(P19)</f>
        <v>0</v>
      </c>
      <c r="R19" s="27">
        <v>0</v>
      </c>
      <c r="S19" s="80">
        <f>'DATOS REFERENCIALES'!$C$14</f>
        <v>0</v>
      </c>
      <c r="T19" s="27">
        <f>K19+N19+O19+P19+Q19+R19+S19</f>
        <v>12191.832</v>
      </c>
      <c r="U19" s="27">
        <f t="shared" si="2"/>
        <v>1341.1015199999999</v>
      </c>
      <c r="V19" s="27">
        <f t="shared" si="3"/>
        <v>365.75495999999998</v>
      </c>
      <c r="W19" s="27">
        <f t="shared" si="3"/>
        <v>365.75495999999998</v>
      </c>
      <c r="X19" s="27">
        <f t="shared" si="4"/>
        <v>243.83664000000002</v>
      </c>
      <c r="Y19" s="27">
        <f t="shared" si="5"/>
        <v>548.63243999999997</v>
      </c>
      <c r="Z19" s="27">
        <f t="shared" si="6"/>
        <v>2865.0805199999995</v>
      </c>
      <c r="AA19" s="80">
        <f t="shared" si="7"/>
        <v>9326.7514800000008</v>
      </c>
      <c r="AB19" s="148">
        <f>'DATOS REFERENCIALES'!$C$10</f>
        <v>1520</v>
      </c>
      <c r="AC19" s="80">
        <f>IF((IF(H19&gt;1119,('DATOS REFERENCIALES'!$C$9-(T19-U19-V19-W19-X19-Y19+AB19-L19-L19*0.235-(S19-S19*0.235))),(('DATOS REFERENCIALES'!$C$9/1120)*H19)-(K19+N19+O19+P19+Q19+R19-U19-V19-W19-X19-Y19+AB19-(L19-L19*0.235)-(S19*0.235))))&lt;0,0,IF(H19&gt;1119,(('DATOS REFERENCIALES'!$C$9)-(T19-U19-V19-W19-X19-Y19+AB19-(L19-L19*0.235)-(S19-S19*0.235))),(('DATOS REFERENCIALES'!$C$9/1120)*H19)-(K19+N19+O19+P19+Q19+R19-U19-V19-W19-X19-Y19+AB19-(L19-L19*0.235)-(S19*0.235))))</f>
        <v>6303.2485199999992</v>
      </c>
      <c r="AD19" s="131">
        <f t="shared" si="8"/>
        <v>17150</v>
      </c>
      <c r="AE19" s="92">
        <f>'DATOS REFERENCIALES'!$C$13</f>
        <v>1210</v>
      </c>
      <c r="AF19" s="275"/>
      <c r="AG19" s="131">
        <f>IF($H19&gt;1119,'DATOS REFERENCIALES'!C17,'DATOS REFERENCIALES'!C17/1120*$H19)</f>
        <v>1500</v>
      </c>
      <c r="AH19" s="148">
        <f>'DATOS REFERENCIALES'!$C$12</f>
        <v>210</v>
      </c>
      <c r="AI19" s="148">
        <f>SUM(AD19:AH19)</f>
        <v>20070</v>
      </c>
      <c r="AJ19" s="567">
        <f>'DATOS REFERENCIALES'!$C$16</f>
        <v>772</v>
      </c>
      <c r="AK19" s="27">
        <f t="shared" si="9"/>
        <v>181.42</v>
      </c>
      <c r="AL19" s="27">
        <f t="shared" si="10"/>
        <v>590.58000000000004</v>
      </c>
      <c r="AM19" s="569">
        <f>AI19+AL19</f>
        <v>20660.580000000002</v>
      </c>
      <c r="AN19" s="17"/>
      <c r="AO19" s="17"/>
    </row>
    <row r="20" spans="1:43" s="1" customFormat="1" ht="21.75" customHeight="1" x14ac:dyDescent="0.2">
      <c r="A20" s="75">
        <v>845</v>
      </c>
      <c r="B20" s="86" t="s">
        <v>7</v>
      </c>
      <c r="C20" s="29">
        <v>0</v>
      </c>
      <c r="D20" s="29"/>
      <c r="E20" s="29"/>
      <c r="F20" s="29"/>
      <c r="G20" s="55">
        <v>1120</v>
      </c>
      <c r="H20" s="37">
        <f t="shared" si="0"/>
        <v>1120</v>
      </c>
      <c r="I20" s="37"/>
      <c r="J20" s="37"/>
      <c r="K20" s="90">
        <f>H20*'DATOS REFERENCIALES'!$C$4</f>
        <v>7197.12</v>
      </c>
      <c r="L20" s="90"/>
      <c r="M20" s="90"/>
      <c r="N20" s="80">
        <f>LOOKUP(C20,'TABLA ANTIG.'!$A$4:$A$39,'TABLA ANTIG.'!$B$4:$B$39)*(K20)</f>
        <v>0</v>
      </c>
      <c r="O20" s="27">
        <f t="shared" si="1"/>
        <v>719.71199999999999</v>
      </c>
      <c r="P20" s="90">
        <f>'DATOS REFERENCIALES'!$C$8</f>
        <v>4275</v>
      </c>
      <c r="Q20" s="80">
        <f>LOOKUP(C20,'TABLA ANTIG.'!$A$4:$A$39,'TABLA ANTIG.'!$B$4:$B$39)*(P20)</f>
        <v>0</v>
      </c>
      <c r="R20" s="27">
        <v>0</v>
      </c>
      <c r="S20" s="80">
        <f>'DATOS REFERENCIALES'!$C$14</f>
        <v>0</v>
      </c>
      <c r="T20" s="27">
        <f>K20+N20+O20+P20+Q20+R20+S20</f>
        <v>12191.832</v>
      </c>
      <c r="U20" s="80">
        <f t="shared" si="2"/>
        <v>1341.1015199999999</v>
      </c>
      <c r="V20" s="80">
        <f t="shared" si="3"/>
        <v>365.75495999999998</v>
      </c>
      <c r="W20" s="80">
        <f t="shared" si="3"/>
        <v>365.75495999999998</v>
      </c>
      <c r="X20" s="80">
        <f t="shared" si="4"/>
        <v>243.83664000000002</v>
      </c>
      <c r="Y20" s="80">
        <f t="shared" si="5"/>
        <v>548.63243999999997</v>
      </c>
      <c r="Z20" s="27">
        <f t="shared" si="6"/>
        <v>2865.0805199999995</v>
      </c>
      <c r="AA20" s="80">
        <f t="shared" si="7"/>
        <v>9326.7514800000008</v>
      </c>
      <c r="AB20" s="148">
        <f>'DATOS REFERENCIALES'!$C$10</f>
        <v>1520</v>
      </c>
      <c r="AC20" s="80">
        <f>IF((IF(H20&gt;1119,('DATOS REFERENCIALES'!$C$9-(T20-U20-V20-W20-X20-Y20+AB20-L20-L20*0.235-(S20-S20*0.235))),(('DATOS REFERENCIALES'!$C$9/1120)*H20)-(K20+N20+O20+P20+Q20+R20-U20-V20-W20-X20-Y20+AB20-(L20-L20*0.235)-(S20*0.235))))&lt;0,0,IF(H20&gt;1119,(('DATOS REFERENCIALES'!$C$9)-(T20-U20-V20-W20-X20-Y20+AB20-(L20-L20*0.235)-(S20-S20*0.235))),(('DATOS REFERENCIALES'!$C$9/1120)*H20)-(K20+N20+O20+P20+Q20+R20-U20-V20-W20-X20-Y20+AB20-(L20-L20*0.235)-(S20*0.235))))</f>
        <v>6303.2485199999992</v>
      </c>
      <c r="AD20" s="131">
        <f t="shared" si="8"/>
        <v>17150</v>
      </c>
      <c r="AE20" s="92">
        <f>'DATOS REFERENCIALES'!$C$13</f>
        <v>1210</v>
      </c>
      <c r="AF20" s="275"/>
      <c r="AG20" s="131">
        <f>IF($H20&gt;1119,'DATOS REFERENCIALES'!C17,'DATOS REFERENCIALES'!C17/1120*$H20)</f>
        <v>1500</v>
      </c>
      <c r="AH20" s="148">
        <f>'DATOS REFERENCIALES'!$C$12</f>
        <v>210</v>
      </c>
      <c r="AI20" s="148">
        <f>SUM(AD20:AH20)</f>
        <v>20070</v>
      </c>
      <c r="AJ20" s="567">
        <f>'DATOS REFERENCIALES'!$C$16</f>
        <v>772</v>
      </c>
      <c r="AK20" s="27">
        <f t="shared" si="9"/>
        <v>181.42</v>
      </c>
      <c r="AL20" s="27">
        <f t="shared" si="10"/>
        <v>590.58000000000004</v>
      </c>
      <c r="AM20" s="569">
        <f>AI20+AL20</f>
        <v>20660.580000000002</v>
      </c>
      <c r="AN20" s="17"/>
      <c r="AO20" s="17"/>
    </row>
    <row r="21" spans="1:43" s="1" customFormat="1" ht="20.25" customHeight="1" thickBot="1" x14ac:dyDescent="0.25">
      <c r="A21" s="76">
        <v>5566</v>
      </c>
      <c r="B21" s="87" t="s">
        <v>8</v>
      </c>
      <c r="C21" s="24">
        <v>0</v>
      </c>
      <c r="D21" s="24">
        <v>1</v>
      </c>
      <c r="E21" s="24"/>
      <c r="F21" s="24"/>
      <c r="G21" s="53">
        <v>56</v>
      </c>
      <c r="H21" s="57">
        <f t="shared" si="0"/>
        <v>56</v>
      </c>
      <c r="I21" s="57"/>
      <c r="J21" s="57"/>
      <c r="K21" s="91">
        <f>(H21*'DATOS REFERENCIALES'!$C$4)*D21</f>
        <v>359.85599999999999</v>
      </c>
      <c r="L21" s="91"/>
      <c r="M21" s="91"/>
      <c r="N21" s="81">
        <f>LOOKUP(C21,'TABLA ANTIG.'!$A$4:$A$39,'TABLA ANTIG.'!$B$4:$B$39)*(K21)</f>
        <v>0</v>
      </c>
      <c r="O21" s="28">
        <f t="shared" si="1"/>
        <v>35.985599999999998</v>
      </c>
      <c r="P21" s="91">
        <f>IF(D21&gt;48,'DATOS REFERENCIALES'!D8+('DATOS REFERENCIALES'!F8*10),IF(D21&lt;39,'DATOS REFERENCIALES'!$E$8*D21,((D21-'DATOS REFERENCIALES'!$I$8)*'DATOS REFERENCIALES'!$F$8)+'DATOS REFERENCIALES'!D8))</f>
        <v>225</v>
      </c>
      <c r="Q21" s="81">
        <f>LOOKUP(C21,'TABLA ANTIG.'!$A$4:$A$39,'TABLA ANTIG.'!$B$4:$B$39)*(P21)</f>
        <v>0</v>
      </c>
      <c r="R21" s="28">
        <v>0</v>
      </c>
      <c r="S21" s="91">
        <f>IF(D21&gt;29.99,'DATOS REFERENCIALES'!$D$14,'DATOS REFERENCIALES'!$E$14*D21)</f>
        <v>0</v>
      </c>
      <c r="T21" s="28">
        <f>K21+N21+O21+P21+Q21+R21+S21</f>
        <v>620.84159999999997</v>
      </c>
      <c r="U21" s="28">
        <f t="shared" si="2"/>
        <v>68.292575999999997</v>
      </c>
      <c r="V21" s="28">
        <f t="shared" si="3"/>
        <v>18.625247999999999</v>
      </c>
      <c r="W21" s="28">
        <f t="shared" si="3"/>
        <v>18.625247999999999</v>
      </c>
      <c r="X21" s="28">
        <f t="shared" si="4"/>
        <v>12.416831999999999</v>
      </c>
      <c r="Y21" s="28">
        <f t="shared" si="5"/>
        <v>27.937871999999999</v>
      </c>
      <c r="Z21" s="28">
        <f t="shared" si="6"/>
        <v>145.89777599999999</v>
      </c>
      <c r="AA21" s="81">
        <f t="shared" si="7"/>
        <v>474.94382399999995</v>
      </c>
      <c r="AB21" s="151">
        <f>IF(D21&gt;38,'DATOS REFERENCIALES'!$D$10,'DATOS REFERENCIALES'!$E$10*D21)</f>
        <v>80</v>
      </c>
      <c r="AC21" s="81">
        <f>IF(D21&gt;41,IF((('DATOS REFERENCIALES'!$D$9)-((T21-S21)-(Z21-S21*0.235)+(AB21)))&lt;0,0,((('DATOS REFERENCIALES'!$D$9)-((T21-S21)-(Z21-S21*0.235)+(AB21))))),IF((('DATOS REFERENCIALES'!$E$9*D21)-(((T21-S21)-(Z21-S21*0.235)+(AB21))))&lt;0,0,('DATOS REFERENCIALES'!$E$9*D21)-((T21-S21)-(Z21-S21*0.235)+(AB21))))</f>
        <v>302.55617600000005</v>
      </c>
      <c r="AD21" s="132">
        <f t="shared" si="8"/>
        <v>857.5</v>
      </c>
      <c r="AE21" s="93">
        <f>IF(D21&gt;30,'DATOS REFERENCIALES'!$D$13,('DATOS REFERENCIALES'!$E$13*D21))</f>
        <v>80.666659999999993</v>
      </c>
      <c r="AF21" s="273"/>
      <c r="AG21" s="159">
        <f>IF(D21&gt;'DATOS REFERENCIALES'!$I$17,'DATOS REFERENCIALES'!$D$17,('DATOS REFERENCIALES'!$E$17*D21))</f>
        <v>75</v>
      </c>
      <c r="AH21" s="151">
        <f>IF(D21&gt;'DATOS REFERENCIALES'!$I$12,'DATOS REFERENCIALES'!$D$12,'DATOS REFERENCIALES'!$E$12*D21)</f>
        <v>14</v>
      </c>
      <c r="AI21" s="151">
        <f>SUM(AD21:AH21)</f>
        <v>1027.1666599999999</v>
      </c>
      <c r="AJ21" s="568">
        <f>IF(D21&gt;'DATOS REFERENCIALES'!$I$16,'DATOS REFERENCIALES'!$D$16,'DATOS REFERENCIALES'!$E$16*D21)</f>
        <v>51.47</v>
      </c>
      <c r="AK21" s="28">
        <f t="shared" si="9"/>
        <v>12.09545</v>
      </c>
      <c r="AL21" s="28">
        <f t="shared" si="10"/>
        <v>39.374549999999999</v>
      </c>
      <c r="AM21" s="570">
        <f>AI21+AL21</f>
        <v>1066.5412099999999</v>
      </c>
      <c r="AN21" s="17"/>
      <c r="AO21" s="17"/>
    </row>
    <row r="22" spans="1:43" s="1" customFormat="1" ht="15.75" thickBot="1" x14ac:dyDescent="0.25">
      <c r="A22" s="10"/>
      <c r="C22" s="13"/>
      <c r="D22" s="13"/>
      <c r="E22" s="13"/>
      <c r="F22" s="13"/>
      <c r="G22" s="13"/>
      <c r="H22" s="13"/>
      <c r="I22" s="13"/>
      <c r="J22" s="13"/>
      <c r="K22" s="14"/>
      <c r="L22" s="14"/>
      <c r="M22" s="14"/>
      <c r="N22" s="13"/>
      <c r="O22" s="13"/>
      <c r="P22" s="14"/>
      <c r="Q22" s="14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564"/>
      <c r="AK22" s="13"/>
      <c r="AL22" s="13"/>
      <c r="AM22" s="16"/>
      <c r="AN22" s="17"/>
      <c r="AO22" s="17"/>
    </row>
    <row r="23" spans="1:43" s="1" customFormat="1" ht="19.5" customHeight="1" thickBot="1" x14ac:dyDescent="0.35">
      <c r="A23" s="95" t="s">
        <v>129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5" t="s">
        <v>129</v>
      </c>
      <c r="AE23" s="134"/>
      <c r="AF23" s="134"/>
      <c r="AG23" s="134"/>
      <c r="AH23" s="134"/>
      <c r="AI23" s="135"/>
      <c r="AJ23" s="564"/>
      <c r="AK23" s="13"/>
      <c r="AL23" s="13"/>
      <c r="AM23" s="16"/>
      <c r="AN23" s="17"/>
      <c r="AO23" s="17"/>
    </row>
    <row r="24" spans="1:43" s="2" customFormat="1" ht="25.5" customHeight="1" thickBot="1" x14ac:dyDescent="0.25">
      <c r="A24" s="687" t="s">
        <v>1</v>
      </c>
      <c r="B24" s="687" t="s">
        <v>0</v>
      </c>
      <c r="C24" s="629" t="s">
        <v>77</v>
      </c>
      <c r="D24" s="629" t="s">
        <v>119</v>
      </c>
      <c r="E24" s="629" t="s">
        <v>112</v>
      </c>
      <c r="F24" s="629" t="s">
        <v>113</v>
      </c>
      <c r="G24" s="629" t="s">
        <v>102</v>
      </c>
      <c r="H24" s="629" t="s">
        <v>79</v>
      </c>
      <c r="I24" s="629" t="s">
        <v>148</v>
      </c>
      <c r="J24" s="627" t="s">
        <v>147</v>
      </c>
      <c r="K24" s="627" t="s">
        <v>121</v>
      </c>
      <c r="L24" s="627" t="s">
        <v>146</v>
      </c>
      <c r="M24" s="627" t="s">
        <v>147</v>
      </c>
      <c r="N24" s="645" t="s">
        <v>85</v>
      </c>
      <c r="O24" s="685" t="s">
        <v>120</v>
      </c>
      <c r="P24" s="647" t="s">
        <v>86</v>
      </c>
      <c r="Q24" s="645" t="s">
        <v>101</v>
      </c>
      <c r="R24" s="645" t="s">
        <v>84</v>
      </c>
      <c r="S24" s="629" t="s">
        <v>192</v>
      </c>
      <c r="T24" s="645" t="s">
        <v>69</v>
      </c>
      <c r="U24" s="656" t="s">
        <v>59</v>
      </c>
      <c r="V24" s="657"/>
      <c r="W24" s="657"/>
      <c r="X24" s="657"/>
      <c r="Y24" s="658"/>
      <c r="Z24" s="629" t="s">
        <v>68</v>
      </c>
      <c r="AA24" s="629" t="s">
        <v>89</v>
      </c>
      <c r="AB24" s="629" t="s">
        <v>88</v>
      </c>
      <c r="AC24" s="629" t="s">
        <v>87</v>
      </c>
      <c r="AD24" s="629" t="s">
        <v>91</v>
      </c>
      <c r="AE24" s="629" t="s">
        <v>90</v>
      </c>
      <c r="AF24" s="629" t="s">
        <v>174</v>
      </c>
      <c r="AG24" s="629" t="s">
        <v>196</v>
      </c>
      <c r="AH24" s="673" t="s">
        <v>145</v>
      </c>
      <c r="AI24" s="629" t="s">
        <v>92</v>
      </c>
      <c r="AJ24" s="629" t="s">
        <v>192</v>
      </c>
      <c r="AK24" s="631" t="s">
        <v>68</v>
      </c>
      <c r="AL24" s="629" t="s">
        <v>194</v>
      </c>
      <c r="AM24" s="629" t="s">
        <v>195</v>
      </c>
      <c r="AN24" s="17"/>
      <c r="AO24" s="17"/>
    </row>
    <row r="25" spans="1:43" s="2" customFormat="1" ht="93.75" customHeight="1" thickBot="1" x14ac:dyDescent="0.25">
      <c r="A25" s="688"/>
      <c r="B25" s="688"/>
      <c r="C25" s="630"/>
      <c r="D25" s="630"/>
      <c r="E25" s="630"/>
      <c r="F25" s="630"/>
      <c r="G25" s="630"/>
      <c r="H25" s="630"/>
      <c r="I25" s="630"/>
      <c r="J25" s="628"/>
      <c r="K25" s="628"/>
      <c r="L25" s="628"/>
      <c r="M25" s="628"/>
      <c r="N25" s="646"/>
      <c r="O25" s="686"/>
      <c r="P25" s="648"/>
      <c r="Q25" s="646"/>
      <c r="R25" s="680"/>
      <c r="S25" s="630"/>
      <c r="T25" s="680"/>
      <c r="U25" s="98" t="s">
        <v>141</v>
      </c>
      <c r="V25" s="98" t="s">
        <v>61</v>
      </c>
      <c r="W25" s="98" t="s">
        <v>62</v>
      </c>
      <c r="X25" s="98" t="s">
        <v>63</v>
      </c>
      <c r="Y25" s="98" t="s">
        <v>64</v>
      </c>
      <c r="Z25" s="630"/>
      <c r="AA25" s="677"/>
      <c r="AB25" s="677"/>
      <c r="AC25" s="677"/>
      <c r="AD25" s="677"/>
      <c r="AE25" s="677"/>
      <c r="AF25" s="630"/>
      <c r="AG25" s="677"/>
      <c r="AH25" s="630"/>
      <c r="AI25" s="677"/>
      <c r="AJ25" s="630"/>
      <c r="AK25" s="632"/>
      <c r="AL25" s="630"/>
      <c r="AM25" s="630"/>
      <c r="AN25" s="17"/>
      <c r="AO25" s="17"/>
    </row>
    <row r="26" spans="1:43" s="1" customFormat="1" ht="22.5" customHeight="1" x14ac:dyDescent="0.2">
      <c r="A26" s="368">
        <v>834</v>
      </c>
      <c r="B26" s="411" t="s">
        <v>5</v>
      </c>
      <c r="C26" s="340">
        <v>0</v>
      </c>
      <c r="D26" s="340"/>
      <c r="E26" s="340"/>
      <c r="F26" s="340"/>
      <c r="G26" s="412">
        <v>3125</v>
      </c>
      <c r="H26" s="340">
        <f t="shared" ref="H26:H34" si="11">SUM(G26:G26)</f>
        <v>3125</v>
      </c>
      <c r="I26" s="340"/>
      <c r="J26" s="340"/>
      <c r="K26" s="345">
        <f>H26*'DATOS REFERENCIALES'!$C$4</f>
        <v>20081.25</v>
      </c>
      <c r="L26" s="345"/>
      <c r="M26" s="345"/>
      <c r="N26" s="347">
        <f>LOOKUP(C26,'TABLA ANTIG.'!$A$4:$A$39,'TABLA ANTIG.'!$B$4:$B$39)*(K26)</f>
        <v>0</v>
      </c>
      <c r="O26" s="347">
        <f t="shared" ref="O26:O34" si="12">K26*0.1</f>
        <v>2008.125</v>
      </c>
      <c r="P26" s="345">
        <f>'DATOS REFERENCIALES'!$D$8</f>
        <v>8550</v>
      </c>
      <c r="Q26" s="347">
        <f>LOOKUP(C26,'TABLA ANTIG.'!$A$4:$A$39,'TABLA ANTIG.'!$B$4:$B$39)*(P26)</f>
        <v>0</v>
      </c>
      <c r="R26" s="426">
        <v>0</v>
      </c>
      <c r="S26" s="347">
        <f>'DATOS REFERENCIALES'!$D$14</f>
        <v>0</v>
      </c>
      <c r="T26" s="427">
        <f>K26+N26+O26+P26+Q26+R26+S26</f>
        <v>30639.375</v>
      </c>
      <c r="U26" s="347">
        <f t="shared" ref="U26:U34" si="13">$T26*11%</f>
        <v>3370.3312500000002</v>
      </c>
      <c r="V26" s="347">
        <f t="shared" ref="V26:W34" si="14">$T26*3%</f>
        <v>919.18124999999998</v>
      </c>
      <c r="W26" s="347">
        <f t="shared" si="14"/>
        <v>919.18124999999998</v>
      </c>
      <c r="X26" s="347">
        <f t="shared" ref="X26:X34" si="15">$T26*2%</f>
        <v>612.78750000000002</v>
      </c>
      <c r="Y26" s="347">
        <f t="shared" ref="Y26:Y34" si="16">$T26*4.5%</f>
        <v>1378.7718749999999</v>
      </c>
      <c r="Z26" s="427">
        <f t="shared" ref="Z26:Z34" si="17">SUM(U26:Y26)</f>
        <v>7200.2531249999993</v>
      </c>
      <c r="AA26" s="427">
        <f t="shared" ref="AA26:AA34" si="18">T26-Z26</f>
        <v>23439.121875000001</v>
      </c>
      <c r="AB26" s="428">
        <f>'DATOS REFERENCIALES'!$D$10</f>
        <v>3040</v>
      </c>
      <c r="AC26" s="427">
        <f>IF((IF(H26&gt;2042,('DATOS REFERENCIALES'!$D$9-(T26-U26-V26-W26-X26-Y26+AB26)+(S26-S26*0.235)),(('DATOS REFERENCIALES'!$D$9/2043)*H26)-(K26+N26+O26+P26+Q26+R26-U26-V26-W26-X26-Y26+AB26)))&lt;0,0,IF(H26&gt;2042,(('DATOS REFERENCIALES'!$D$9)-(T26-U26-V26-W26-X26-Y26+AB26)+(S26-S26*0.235)),(('DATOS REFERENCIALES'!$D$9/2043)*H26)-(K26+N26+O26+P26+Q26+R26-U26-V26-W26-X26-Y26+AB26)))</f>
        <v>7820.8781249999993</v>
      </c>
      <c r="AD26" s="427">
        <f t="shared" ref="AD26:AD34" si="19">SUM(AA26:AC26)</f>
        <v>34300</v>
      </c>
      <c r="AE26" s="352">
        <f>'DATOS REFERENCIALES'!$D$13</f>
        <v>2420</v>
      </c>
      <c r="AF26" s="374"/>
      <c r="AG26" s="426">
        <f>IF($H26&gt;2043,'DATOS REFERENCIALES'!D17,'DATOS REFERENCIALES'!D17/2043*$H26)</f>
        <v>3000</v>
      </c>
      <c r="AH26" s="429">
        <f>'DATOS REFERENCIALES'!$D$12</f>
        <v>420</v>
      </c>
      <c r="AI26" s="633">
        <f>SUM(AD26:AH26)+SUM(AD27:AH27)</f>
        <v>42421.30724052</v>
      </c>
      <c r="AJ26" s="613">
        <f>'DATOS REFERENCIALES'!$D$16</f>
        <v>1544</v>
      </c>
      <c r="AK26" s="633">
        <f>AJ26*$AK$8</f>
        <v>362.84</v>
      </c>
      <c r="AL26" s="633">
        <f>AJ26-AK26</f>
        <v>1181.1600000000001</v>
      </c>
      <c r="AM26" s="635">
        <f>AI26+AL26</f>
        <v>43602.467240520004</v>
      </c>
      <c r="AN26" s="17"/>
      <c r="AO26" s="17"/>
    </row>
    <row r="27" spans="1:43" s="1" customFormat="1" ht="28.5" customHeight="1" thickBot="1" x14ac:dyDescent="0.25">
      <c r="A27" s="375">
        <v>834</v>
      </c>
      <c r="B27" s="413" t="s">
        <v>5</v>
      </c>
      <c r="C27" s="355">
        <f>IF(C26&gt;0,C26,0)</f>
        <v>0</v>
      </c>
      <c r="D27" s="355"/>
      <c r="E27" s="355"/>
      <c r="F27" s="355"/>
      <c r="G27" s="414"/>
      <c r="H27" s="355"/>
      <c r="I27" s="355">
        <v>234.38</v>
      </c>
      <c r="J27" s="359" t="s">
        <v>150</v>
      </c>
      <c r="K27" s="360"/>
      <c r="L27" s="360">
        <f>I27*'DATOS REFERENCIALES'!$C$4</f>
        <v>1506.1258800000001</v>
      </c>
      <c r="M27" s="360">
        <f>IF(J27='DATOS REFERENCIALES'!$C$30,K26*'DATOS REFERENCIALES'!$D$30,IF(J27='DATOS REFERENCIALES'!$C$31,('DATOS REFERENCIALES'!$D$31*K26),IF(J27='DATOS REFERENCIALES'!$C$32,('DATOS REFERENCIALES'!$D$32*K26),IF(J27='DATOS REFERENCIALES'!$C$33,('DATOS REFERENCIALES'!$D$33*K26),IF(J27='DATOS REFERENCIALES'!$C$34,('DATOS REFERENCIALES'!$D$34*K26),IF(J27='DATOS REFERENCIALES'!$C$35,('DATOS REFERENCIALES'!$D$35*K26),IF(J27='DATOS REFERENCIALES'!$C$36,('DATOS REFERENCIALES'!$D$36*K26),IF(J27='DATOS REFERENCIALES'!$C$37,('DATOS REFERENCIALES'!$D$37*K26),0))))))))</f>
        <v>1204.875</v>
      </c>
      <c r="N27" s="362">
        <f>LOOKUP(C27,'TABLA ANTIG.'!$A$4:$A$39,'TABLA ANTIG.'!$B$4:$B$39)*(L27+M27)</f>
        <v>0</v>
      </c>
      <c r="O27" s="362">
        <f>(L27+M27)*0.1</f>
        <v>271.10008800000003</v>
      </c>
      <c r="P27" s="360"/>
      <c r="Q27" s="362"/>
      <c r="R27" s="361"/>
      <c r="S27" s="362"/>
      <c r="T27" s="362">
        <f>L27+M27+N27+O27+P27+Q27+R27</f>
        <v>2982.1009680000002</v>
      </c>
      <c r="U27" s="365">
        <f t="shared" si="13"/>
        <v>328.03110648000001</v>
      </c>
      <c r="V27" s="362">
        <f t="shared" si="14"/>
        <v>89.463029040000009</v>
      </c>
      <c r="W27" s="365">
        <f t="shared" si="14"/>
        <v>89.463029040000009</v>
      </c>
      <c r="X27" s="362">
        <f>$T27*2%</f>
        <v>59.642019360000006</v>
      </c>
      <c r="Y27" s="362">
        <f t="shared" si="16"/>
        <v>134.19454356</v>
      </c>
      <c r="Z27" s="362">
        <f t="shared" si="17"/>
        <v>700.79372748000014</v>
      </c>
      <c r="AA27" s="366">
        <f t="shared" si="18"/>
        <v>2281.3072405200001</v>
      </c>
      <c r="AB27" s="362"/>
      <c r="AC27" s="362"/>
      <c r="AD27" s="361">
        <f t="shared" si="19"/>
        <v>2281.3072405200001</v>
      </c>
      <c r="AE27" s="367"/>
      <c r="AF27" s="380"/>
      <c r="AG27" s="361"/>
      <c r="AH27" s="362"/>
      <c r="AI27" s="634"/>
      <c r="AJ27" s="614"/>
      <c r="AK27" s="634"/>
      <c r="AL27" s="634"/>
      <c r="AM27" s="636"/>
      <c r="AN27" s="17"/>
      <c r="AO27" s="17"/>
    </row>
    <row r="28" spans="1:43" s="1" customFormat="1" ht="27.75" customHeight="1" thickBot="1" x14ac:dyDescent="0.25">
      <c r="A28" s="399">
        <v>870</v>
      </c>
      <c r="B28" s="278" t="s">
        <v>3</v>
      </c>
      <c r="C28" s="279">
        <v>0</v>
      </c>
      <c r="D28" s="279"/>
      <c r="E28" s="279"/>
      <c r="F28" s="279"/>
      <c r="G28" s="280">
        <v>2667</v>
      </c>
      <c r="H28" s="279">
        <f t="shared" si="11"/>
        <v>2667</v>
      </c>
      <c r="I28" s="279"/>
      <c r="J28" s="279"/>
      <c r="K28" s="281">
        <f>H28*'DATOS REFERENCIALES'!$C$4</f>
        <v>17138.142</v>
      </c>
      <c r="L28" s="281"/>
      <c r="M28" s="281"/>
      <c r="N28" s="283">
        <f>LOOKUP(C28,'TABLA ANTIG.'!$A$4:$A$39,'TABLA ANTIG.'!$B$4:$B$39)*(K28)</f>
        <v>0</v>
      </c>
      <c r="O28" s="283">
        <f t="shared" si="12"/>
        <v>1713.8142</v>
      </c>
      <c r="P28" s="281">
        <f>'DATOS REFERENCIALES'!$D$8</f>
        <v>8550</v>
      </c>
      <c r="Q28" s="283">
        <f>LOOKUP(C28,'TABLA ANTIG.'!$A$4:$A$39,'TABLA ANTIG.'!$B$4:$B$39)*(P28)</f>
        <v>0</v>
      </c>
      <c r="R28" s="285">
        <v>0</v>
      </c>
      <c r="S28" s="283">
        <f>'DATOS REFERENCIALES'!$D$14</f>
        <v>0</v>
      </c>
      <c r="T28" s="283">
        <f>K28+N28+O28+P28+Q28+R28+S28</f>
        <v>27401.956200000001</v>
      </c>
      <c r="U28" s="283">
        <f t="shared" si="13"/>
        <v>3014.2151819999999</v>
      </c>
      <c r="V28" s="420">
        <f t="shared" si="14"/>
        <v>822.05868599999997</v>
      </c>
      <c r="W28" s="420">
        <f t="shared" si="14"/>
        <v>822.05868599999997</v>
      </c>
      <c r="X28" s="420">
        <f t="shared" si="15"/>
        <v>548.03912400000002</v>
      </c>
      <c r="Y28" s="420">
        <f t="shared" si="16"/>
        <v>1233.088029</v>
      </c>
      <c r="Z28" s="420">
        <f t="shared" si="17"/>
        <v>6439.459707</v>
      </c>
      <c r="AA28" s="420">
        <f t="shared" si="18"/>
        <v>20962.496492999999</v>
      </c>
      <c r="AB28" s="430">
        <f>'DATOS REFERENCIALES'!$D$10</f>
        <v>3040</v>
      </c>
      <c r="AC28" s="420">
        <f>IF((IF(H28&gt;2042,('DATOS REFERENCIALES'!$D$9-(T28-U28-V28-W28-X28-Y28+AB28)+(S28-S28*0.235)),(('DATOS REFERENCIALES'!$D$9/2043)*H28)-(K28+N28+O28+P28+Q28+R28-U28-V28-W28-X28-Y28+AB28)))&lt;0,0,IF(H28&gt;2042,(('DATOS REFERENCIALES'!$D$9)-(T28-U28-V28-W28-X28-Y28+AB28)+(S28-S28*0.235)),(('DATOS REFERENCIALES'!$D$9/2043)*H28)-(K28+N28+O28+P28+Q28+R28-U28-V28-W28-X28-Y28+AB28)))</f>
        <v>10297.503506999998</v>
      </c>
      <c r="AD28" s="420">
        <f t="shared" si="19"/>
        <v>34300</v>
      </c>
      <c r="AE28" s="533">
        <f>'DATOS REFERENCIALES'!$D$13</f>
        <v>2420</v>
      </c>
      <c r="AF28" s="404"/>
      <c r="AG28" s="419">
        <f>IF($H28&gt;2043,'DATOS REFERENCIALES'!D17,'DATOS REFERENCIALES'!D17/2043*$H28)</f>
        <v>3000</v>
      </c>
      <c r="AH28" s="421">
        <f>'DATOS REFERENCIALES'!$D$12</f>
        <v>420</v>
      </c>
      <c r="AI28" s="639">
        <f>SUM(AD28:AH28)+SUM(AD29:AH29)</f>
        <v>41221.658024370001</v>
      </c>
      <c r="AJ28" s="637">
        <f>'DATOS REFERENCIALES'!$D$16</f>
        <v>1544</v>
      </c>
      <c r="AK28" s="639">
        <f t="shared" ref="AK28:AK34" si="20">AJ28*$AK$8</f>
        <v>362.84</v>
      </c>
      <c r="AL28" s="639">
        <f t="shared" ref="AL28:AL34" si="21">AJ28-AK28</f>
        <v>1181.1600000000001</v>
      </c>
      <c r="AM28" s="641">
        <f>AI28+AL28</f>
        <v>42402.818024370004</v>
      </c>
      <c r="AN28" s="17"/>
      <c r="AO28" s="17"/>
    </row>
    <row r="29" spans="1:43" s="1" customFormat="1" ht="27.75" customHeight="1" thickBot="1" x14ac:dyDescent="0.25">
      <c r="A29" s="405">
        <v>870</v>
      </c>
      <c r="B29" s="422" t="s">
        <v>3</v>
      </c>
      <c r="C29" s="291">
        <f>IF(C28&gt;0,C28,0)</f>
        <v>0</v>
      </c>
      <c r="D29" s="331"/>
      <c r="E29" s="331"/>
      <c r="F29" s="331"/>
      <c r="G29" s="423"/>
      <c r="H29" s="331"/>
      <c r="I29" s="331">
        <v>200.03</v>
      </c>
      <c r="J29" s="424"/>
      <c r="K29" s="335"/>
      <c r="L29" s="335">
        <f>I29*'DATOS REFERENCIALES'!$C$4</f>
        <v>1285.3927800000001</v>
      </c>
      <c r="M29" s="335"/>
      <c r="N29" s="302">
        <f>LOOKUP(C29,'TABLA ANTIG.'!$A$4:$A$39,'TABLA ANTIG.'!$B$4:$B$39)*(L29+M29)</f>
        <v>0</v>
      </c>
      <c r="O29" s="302">
        <f>(L29+M29)*0.1</f>
        <v>128.53927800000002</v>
      </c>
      <c r="P29" s="335"/>
      <c r="Q29" s="302"/>
      <c r="R29" s="300"/>
      <c r="S29" s="336"/>
      <c r="T29" s="302">
        <f>L29+M29+N29+O29+P29+Q29+R29</f>
        <v>1413.9320580000001</v>
      </c>
      <c r="U29" s="302">
        <f t="shared" si="13"/>
        <v>155.53252638000001</v>
      </c>
      <c r="V29" s="302">
        <f t="shared" si="14"/>
        <v>42.417961740000003</v>
      </c>
      <c r="W29" s="336">
        <f t="shared" si="14"/>
        <v>42.417961740000003</v>
      </c>
      <c r="X29" s="302">
        <f>$T29*2%</f>
        <v>28.278641160000003</v>
      </c>
      <c r="Y29" s="302">
        <f t="shared" si="16"/>
        <v>63.62694261</v>
      </c>
      <c r="Z29" s="302">
        <f t="shared" si="17"/>
        <v>332.27403363000002</v>
      </c>
      <c r="AA29" s="337">
        <f t="shared" si="18"/>
        <v>1081.65802437</v>
      </c>
      <c r="AB29" s="302"/>
      <c r="AC29" s="302"/>
      <c r="AD29" s="300">
        <f t="shared" si="19"/>
        <v>1081.65802437</v>
      </c>
      <c r="AE29" s="531"/>
      <c r="AF29" s="410"/>
      <c r="AG29" s="300"/>
      <c r="AH29" s="302"/>
      <c r="AI29" s="640"/>
      <c r="AJ29" s="638"/>
      <c r="AK29" s="640"/>
      <c r="AL29" s="640"/>
      <c r="AM29" s="642"/>
      <c r="AN29" s="17"/>
      <c r="AO29" s="565"/>
    </row>
    <row r="30" spans="1:43" s="1" customFormat="1" ht="27.75" customHeight="1" x14ac:dyDescent="0.2">
      <c r="A30" s="381">
        <v>849</v>
      </c>
      <c r="B30" s="304" t="s">
        <v>4</v>
      </c>
      <c r="C30" s="305">
        <v>0</v>
      </c>
      <c r="D30" s="305"/>
      <c r="E30" s="305"/>
      <c r="F30" s="305"/>
      <c r="G30" s="306">
        <v>2359</v>
      </c>
      <c r="H30" s="305">
        <f t="shared" si="11"/>
        <v>2359</v>
      </c>
      <c r="I30" s="305"/>
      <c r="J30" s="305"/>
      <c r="K30" s="307">
        <f>H30*'DATOS REFERENCIALES'!$C$4</f>
        <v>15158.934000000001</v>
      </c>
      <c r="L30" s="307"/>
      <c r="M30" s="307"/>
      <c r="N30" s="309">
        <f>LOOKUP(C30,'TABLA ANTIG.'!$A$4:$A$39,'TABLA ANTIG.'!$B$4:$B$39)*(K30)</f>
        <v>0</v>
      </c>
      <c r="O30" s="309">
        <f t="shared" si="12"/>
        <v>1515.8934000000002</v>
      </c>
      <c r="P30" s="307">
        <f>'DATOS REFERENCIALES'!$D$8</f>
        <v>8550</v>
      </c>
      <c r="Q30" s="309">
        <f>LOOKUP(C30,'TABLA ANTIG.'!$A$4:$A$39,'TABLA ANTIG.'!$B$4:$B$39)*(P30)</f>
        <v>0</v>
      </c>
      <c r="R30" s="313">
        <v>0</v>
      </c>
      <c r="S30" s="309">
        <f>'DATOS REFERENCIALES'!$D$14</f>
        <v>0</v>
      </c>
      <c r="T30" s="309">
        <f>K30+N30+O30+P30+Q30+R30+S30</f>
        <v>25224.827400000002</v>
      </c>
      <c r="U30" s="431">
        <f t="shared" si="13"/>
        <v>2774.7310140000004</v>
      </c>
      <c r="V30" s="416">
        <f t="shared" si="14"/>
        <v>756.744822</v>
      </c>
      <c r="W30" s="416">
        <f t="shared" si="14"/>
        <v>756.744822</v>
      </c>
      <c r="X30" s="416">
        <f t="shared" si="15"/>
        <v>504.49654800000008</v>
      </c>
      <c r="Y30" s="416">
        <f t="shared" si="16"/>
        <v>1135.1172329999999</v>
      </c>
      <c r="Z30" s="416">
        <f t="shared" si="17"/>
        <v>5927.8344390000002</v>
      </c>
      <c r="AA30" s="416">
        <f t="shared" si="18"/>
        <v>19296.992961000004</v>
      </c>
      <c r="AB30" s="432">
        <f>'DATOS REFERENCIALES'!$D$10</f>
        <v>3040</v>
      </c>
      <c r="AC30" s="416">
        <f>IF((IF(H30&gt;2042,('DATOS REFERENCIALES'!$D$9-(T30-U30-V30-W30-X30-Y30+AB30)+(S30-S30*0.235)),(('DATOS REFERENCIALES'!$D$9/2043)*H30)-(K30+N30+O30+P30+Q30+R30-U30-V30-W30-X30-Y30+AB30)))&lt;0,0,IF(H30&gt;2042,(('DATOS REFERENCIALES'!$D$9)-(T30-U30-V30-W30-X30-Y30+AB30)+(S30-S30*0.235)),(('DATOS REFERENCIALES'!$D$9/2043)*H30)-(K30+N30+O30+P30+Q30+R30-U30-V30-W30-X30-Y30+AB30)))</f>
        <v>11963.007039</v>
      </c>
      <c r="AD30" s="416">
        <f t="shared" si="19"/>
        <v>34300</v>
      </c>
      <c r="AE30" s="534">
        <f>'DATOS REFERENCIALES'!$D$13</f>
        <v>2420</v>
      </c>
      <c r="AF30" s="387"/>
      <c r="AG30" s="415">
        <f>IF($H30&gt;2043,'DATOS REFERENCIALES'!D17,'DATOS REFERENCIALES'!D17/2043*$H30)</f>
        <v>3000</v>
      </c>
      <c r="AH30" s="417">
        <f>'DATOS REFERENCIALES'!$D$12</f>
        <v>420</v>
      </c>
      <c r="AI30" s="623">
        <f>SUM(AD30:AH30)+SUM(AD31:AH31)</f>
        <v>41096.745259470001</v>
      </c>
      <c r="AJ30" s="621">
        <f>'DATOS REFERENCIALES'!$D$16</f>
        <v>1544</v>
      </c>
      <c r="AK30" s="623">
        <f t="shared" si="20"/>
        <v>362.84</v>
      </c>
      <c r="AL30" s="623">
        <f t="shared" si="21"/>
        <v>1181.1600000000001</v>
      </c>
      <c r="AM30" s="625">
        <f>AI30+AL30</f>
        <v>42277.905259470004</v>
      </c>
      <c r="AN30" s="17"/>
      <c r="AO30" s="17"/>
      <c r="AP30" s="9"/>
      <c r="AQ30" s="8"/>
    </row>
    <row r="31" spans="1:43" s="1" customFormat="1" ht="27.75" customHeight="1" thickBot="1" x14ac:dyDescent="0.25">
      <c r="A31" s="388">
        <v>849</v>
      </c>
      <c r="B31" s="316" t="s">
        <v>4</v>
      </c>
      <c r="C31" s="317">
        <f>IF(C30&gt;0,C30,0)</f>
        <v>0</v>
      </c>
      <c r="D31" s="317"/>
      <c r="E31" s="317"/>
      <c r="F31" s="317"/>
      <c r="G31" s="318"/>
      <c r="H31" s="317"/>
      <c r="I31" s="317">
        <v>176.93</v>
      </c>
      <c r="J31" s="418"/>
      <c r="K31" s="319"/>
      <c r="L31" s="319">
        <f>I31*'DATOS REFERENCIALES'!$C$4</f>
        <v>1136.95218</v>
      </c>
      <c r="M31" s="319"/>
      <c r="N31" s="323">
        <f>LOOKUP(C31,'TABLA ANTIG.'!$A$4:$A$39,'TABLA ANTIG.'!$B$4:$B$39)*(L31+M31)</f>
        <v>0</v>
      </c>
      <c r="O31" s="323">
        <f>(L31+M31)*0.1</f>
        <v>113.69521800000001</v>
      </c>
      <c r="P31" s="319"/>
      <c r="Q31" s="323"/>
      <c r="R31" s="325"/>
      <c r="S31" s="562"/>
      <c r="T31" s="323">
        <f>L31+M31+N31+O31+P31+Q31+R31</f>
        <v>1250.6473980000001</v>
      </c>
      <c r="U31" s="324">
        <f t="shared" si="13"/>
        <v>137.57121378000002</v>
      </c>
      <c r="V31" s="323">
        <f t="shared" si="14"/>
        <v>37.519421940000001</v>
      </c>
      <c r="W31" s="324">
        <f t="shared" si="14"/>
        <v>37.519421940000001</v>
      </c>
      <c r="X31" s="323">
        <f>$T31*2%</f>
        <v>25.012947960000002</v>
      </c>
      <c r="Y31" s="323">
        <f t="shared" si="16"/>
        <v>56.279132910000001</v>
      </c>
      <c r="Z31" s="323">
        <f t="shared" si="17"/>
        <v>293.90213853</v>
      </c>
      <c r="AA31" s="326">
        <f t="shared" si="18"/>
        <v>956.74525947000006</v>
      </c>
      <c r="AB31" s="323"/>
      <c r="AC31" s="323"/>
      <c r="AD31" s="325">
        <f t="shared" si="19"/>
        <v>956.74525947000006</v>
      </c>
      <c r="AE31" s="327"/>
      <c r="AF31" s="394"/>
      <c r="AG31" s="325"/>
      <c r="AH31" s="323"/>
      <c r="AI31" s="663"/>
      <c r="AJ31" s="644"/>
      <c r="AK31" s="624"/>
      <c r="AL31" s="624"/>
      <c r="AM31" s="643"/>
      <c r="AN31" s="17"/>
      <c r="AO31" s="17"/>
      <c r="AP31" s="9"/>
      <c r="AQ31" s="8"/>
    </row>
    <row r="32" spans="1:43" s="7" customFormat="1" ht="21" customHeight="1" x14ac:dyDescent="0.2">
      <c r="A32" s="161">
        <v>855</v>
      </c>
      <c r="B32" s="162" t="s">
        <v>7</v>
      </c>
      <c r="C32" s="120">
        <v>0</v>
      </c>
      <c r="D32" s="190"/>
      <c r="E32" s="190"/>
      <c r="F32" s="190"/>
      <c r="G32" s="217">
        <v>2043</v>
      </c>
      <c r="H32" s="190">
        <f t="shared" si="11"/>
        <v>2043</v>
      </c>
      <c r="I32" s="190"/>
      <c r="J32" s="190"/>
      <c r="K32" s="106">
        <f>H32*'DATOS REFERENCIALES'!$C$4</f>
        <v>13128.318000000001</v>
      </c>
      <c r="L32" s="106"/>
      <c r="M32" s="106"/>
      <c r="N32" s="107">
        <f>LOOKUP(C32,'TABLA ANTIG.'!$A$4:$A$39,'TABLA ANTIG.'!$B$4:$B$39)*(K32)</f>
        <v>0</v>
      </c>
      <c r="O32" s="146">
        <f t="shared" si="12"/>
        <v>1312.8318000000002</v>
      </c>
      <c r="P32" s="106">
        <f>'DATOS REFERENCIALES'!$D$8</f>
        <v>8550</v>
      </c>
      <c r="Q32" s="107">
        <f>LOOKUP(C32,'TABLA ANTIG.'!$A$4:$A$39,'TABLA ANTIG.'!$B$4:$B$39)*(P32)</f>
        <v>0</v>
      </c>
      <c r="R32" s="150">
        <v>0</v>
      </c>
      <c r="S32" s="79">
        <f>'DATOS REFERENCIALES'!$D$14</f>
        <v>0</v>
      </c>
      <c r="T32" s="214">
        <f>K32+N32+O32+P32+Q32+R32+S32</f>
        <v>22991.149799999999</v>
      </c>
      <c r="U32" s="80">
        <f t="shared" si="13"/>
        <v>2529.0264779999998</v>
      </c>
      <c r="V32" s="80">
        <f t="shared" si="14"/>
        <v>689.73449399999993</v>
      </c>
      <c r="W32" s="80">
        <f t="shared" si="14"/>
        <v>689.73449399999993</v>
      </c>
      <c r="X32" s="80">
        <f t="shared" si="15"/>
        <v>459.82299599999999</v>
      </c>
      <c r="Y32" s="80">
        <f t="shared" si="16"/>
        <v>1034.6017409999999</v>
      </c>
      <c r="Z32" s="27">
        <f t="shared" si="17"/>
        <v>5402.9202029999997</v>
      </c>
      <c r="AA32" s="80">
        <f t="shared" si="18"/>
        <v>17588.229596999998</v>
      </c>
      <c r="AB32" s="94">
        <f>'DATOS REFERENCIALES'!$D$10</f>
        <v>3040</v>
      </c>
      <c r="AC32" s="80">
        <f>IF((IF(H32&gt;2042,('DATOS REFERENCIALES'!$D$9-(T32-U32-V32-W32-X32-Y32+AB32)+(S32-S32*0.235)),(('DATOS REFERENCIALES'!$D$9/2043)*H32)-(K32+N32+O32+P32+Q32+R32-U32-V32-W32-X32-Y32+AB32)))&lt;0,0,IF(H32&gt;2042,(('DATOS REFERENCIALES'!$D$9)-(T32-U32-V32-W32-X32-Y32+AB32)+(S32-S32*0.235)),(('DATOS REFERENCIALES'!$D$9/2043)*H32)-(K32+N32+O32+P32+Q32+R32-U32-V32-W32-X32-Y32+AB32)))</f>
        <v>13671.770402999999</v>
      </c>
      <c r="AD32" s="80">
        <f t="shared" si="19"/>
        <v>34300</v>
      </c>
      <c r="AE32" s="92">
        <f>'DATOS REFERENCIALES'!$D$13</f>
        <v>2420</v>
      </c>
      <c r="AF32" s="274"/>
      <c r="AG32" s="131">
        <f>IF($H32&gt;2043,'DATOS REFERENCIALES'!D17,'DATOS REFERENCIALES'!D17/2043*$H32)</f>
        <v>3000</v>
      </c>
      <c r="AH32" s="148">
        <f>'DATOS REFERENCIALES'!$D$12</f>
        <v>420</v>
      </c>
      <c r="AI32" s="80">
        <f>SUM(AD32:AH32)</f>
        <v>40140</v>
      </c>
      <c r="AJ32" s="566">
        <f>'DATOS REFERENCIALES'!D16</f>
        <v>1544</v>
      </c>
      <c r="AK32" s="549">
        <f t="shared" si="20"/>
        <v>362.84</v>
      </c>
      <c r="AL32" s="549">
        <f t="shared" si="21"/>
        <v>1181.1600000000001</v>
      </c>
      <c r="AM32" s="571">
        <f>AI32+AL32</f>
        <v>41321.160000000003</v>
      </c>
      <c r="AN32" s="17"/>
      <c r="AO32" s="17"/>
      <c r="AP32" s="9"/>
      <c r="AQ32" s="8"/>
    </row>
    <row r="33" spans="1:43" s="7" customFormat="1" ht="23.25" customHeight="1" x14ac:dyDescent="0.2">
      <c r="A33" s="75">
        <v>856</v>
      </c>
      <c r="B33" s="102" t="s">
        <v>70</v>
      </c>
      <c r="C33" s="35">
        <v>0</v>
      </c>
      <c r="D33" s="37"/>
      <c r="E33" s="37"/>
      <c r="F33" s="37"/>
      <c r="G33" s="55">
        <v>2043</v>
      </c>
      <c r="H33" s="37">
        <f t="shared" si="11"/>
        <v>2043</v>
      </c>
      <c r="I33" s="37"/>
      <c r="J33" s="37"/>
      <c r="K33" s="90">
        <f>H33*'DATOS REFERENCIALES'!$C$4</f>
        <v>13128.318000000001</v>
      </c>
      <c r="L33" s="90"/>
      <c r="M33" s="90"/>
      <c r="N33" s="80">
        <f>LOOKUP(C33,'TABLA ANTIG.'!$A$4:$A$39,'TABLA ANTIG.'!$B$4:$B$39)*(K33)</f>
        <v>0</v>
      </c>
      <c r="O33" s="99">
        <f t="shared" si="12"/>
        <v>1312.8318000000002</v>
      </c>
      <c r="P33" s="90">
        <f>'DATOS REFERENCIALES'!$D$8</f>
        <v>8550</v>
      </c>
      <c r="Q33" s="80">
        <f>LOOKUP(C33,'TABLA ANTIG.'!$A$4:$A$39,'TABLA ANTIG.'!$B$4:$B$39)*(P33)</f>
        <v>0</v>
      </c>
      <c r="R33" s="148">
        <v>0</v>
      </c>
      <c r="S33" s="80">
        <f>'DATOS REFERENCIALES'!$D$14</f>
        <v>0</v>
      </c>
      <c r="T33" s="160">
        <f>K33+N33+O33+P33+Q33+R33+S33</f>
        <v>22991.149799999999</v>
      </c>
      <c r="U33" s="80">
        <f t="shared" si="13"/>
        <v>2529.0264779999998</v>
      </c>
      <c r="V33" s="80">
        <f t="shared" si="14"/>
        <v>689.73449399999993</v>
      </c>
      <c r="W33" s="80">
        <f t="shared" si="14"/>
        <v>689.73449399999993</v>
      </c>
      <c r="X33" s="80">
        <f t="shared" si="15"/>
        <v>459.82299599999999</v>
      </c>
      <c r="Y33" s="80">
        <f t="shared" si="16"/>
        <v>1034.6017409999999</v>
      </c>
      <c r="Z33" s="27">
        <f t="shared" si="17"/>
        <v>5402.9202029999997</v>
      </c>
      <c r="AA33" s="80">
        <f t="shared" si="18"/>
        <v>17588.229596999998</v>
      </c>
      <c r="AB33" s="94">
        <f>'DATOS REFERENCIALES'!$D$10</f>
        <v>3040</v>
      </c>
      <c r="AC33" s="80">
        <f>IF((IF(H33&gt;2042,('DATOS REFERENCIALES'!$D$9-(T33-U33-V33-W33-X33-Y33+AB33)+(S33-S33*0.235)),(('DATOS REFERENCIALES'!$D$9/2043)*H33)-(K33+N33+O33+P33+Q33+R33-U33-V33-W33-X33-Y33+AB33)))&lt;0,0,IF(H33&gt;2042,(('DATOS REFERENCIALES'!$D$9)-(T33-U33-V33-W33-X33-Y33+AB33)+(S33-S33*0.235)),(('DATOS REFERENCIALES'!$D$9/2043)*H33)-(K33+N33+O33+P33+Q33+R33-U33-V33-W33-X33-Y33+AB33)))</f>
        <v>13671.770402999999</v>
      </c>
      <c r="AD33" s="80">
        <f t="shared" si="19"/>
        <v>34300</v>
      </c>
      <c r="AE33" s="92">
        <f>'DATOS REFERENCIALES'!$D$13</f>
        <v>2420</v>
      </c>
      <c r="AF33" s="275"/>
      <c r="AG33" s="131">
        <f>IF($H32&gt;2043,'DATOS REFERENCIALES'!D17,'DATOS REFERENCIALES'!D17/2043*$H32)</f>
        <v>3000</v>
      </c>
      <c r="AH33" s="148">
        <f>'DATOS REFERENCIALES'!$D$12</f>
        <v>420</v>
      </c>
      <c r="AI33" s="80">
        <f>SUM(AD33:AH33)</f>
        <v>40140</v>
      </c>
      <c r="AJ33" s="567">
        <f>'DATOS REFERENCIALES'!D16</f>
        <v>1544</v>
      </c>
      <c r="AK33" s="27">
        <f t="shared" si="20"/>
        <v>362.84</v>
      </c>
      <c r="AL33" s="27">
        <f t="shared" si="21"/>
        <v>1181.1600000000001</v>
      </c>
      <c r="AM33" s="569">
        <f>AI33+AL33</f>
        <v>41321.160000000003</v>
      </c>
      <c r="AN33" s="17"/>
      <c r="AO33" s="17"/>
      <c r="AP33" s="9"/>
      <c r="AQ33" s="8"/>
    </row>
    <row r="34" spans="1:43" s="1" customFormat="1" ht="24" customHeight="1" thickBot="1" x14ac:dyDescent="0.25">
      <c r="A34" s="76">
        <v>5566</v>
      </c>
      <c r="B34" s="103" t="s">
        <v>9</v>
      </c>
      <c r="C34" s="57">
        <v>0</v>
      </c>
      <c r="D34" s="24">
        <v>1</v>
      </c>
      <c r="E34" s="57"/>
      <c r="F34" s="57"/>
      <c r="G34" s="53">
        <v>56</v>
      </c>
      <c r="H34" s="57">
        <f t="shared" si="11"/>
        <v>56</v>
      </c>
      <c r="I34" s="57"/>
      <c r="J34" s="57"/>
      <c r="K34" s="91">
        <f>(H34*'DATOS REFERENCIALES'!$C$4)*D34</f>
        <v>359.85599999999999</v>
      </c>
      <c r="L34" s="91"/>
      <c r="M34" s="91"/>
      <c r="N34" s="81">
        <f>LOOKUP(C34,'TABLA ANTIG.'!$A$4:$A$39,'TABLA ANTIG.'!$B$4:$B$39)*(K34)</f>
        <v>0</v>
      </c>
      <c r="O34" s="28">
        <f t="shared" si="12"/>
        <v>35.985599999999998</v>
      </c>
      <c r="P34" s="91">
        <f>IF(D34&gt;48,'DATOS REFERENCIALES'!$D$8+('DATOS REFERENCIALES'!$F$8*10),IF(D34&lt;39,'DATOS REFERENCIALES'!$E$8*D34,((D34-'DATOS REFERENCIALES'!$I$8)*'DATOS REFERENCIALES'!$F$8)+'DATOS REFERENCIALES'!$D$8))</f>
        <v>225</v>
      </c>
      <c r="Q34" s="81">
        <f>LOOKUP(C34,'TABLA ANTIG.'!$A$4:$A$39,'TABLA ANTIG.'!$B$4:$B$39)*(P34)</f>
        <v>0</v>
      </c>
      <c r="R34" s="100">
        <v>0</v>
      </c>
      <c r="S34" s="91">
        <f>IF(D34&gt;29.99,'DATOS REFERENCIALES'!$D$14,'DATOS REFERENCIALES'!$E$14*D34)</f>
        <v>0</v>
      </c>
      <c r="T34" s="207">
        <f>K34+N34+O34+P34+Q34+R34+S34</f>
        <v>620.84159999999997</v>
      </c>
      <c r="U34" s="28">
        <f t="shared" si="13"/>
        <v>68.292575999999997</v>
      </c>
      <c r="V34" s="28">
        <f t="shared" si="14"/>
        <v>18.625247999999999</v>
      </c>
      <c r="W34" s="28">
        <f t="shared" si="14"/>
        <v>18.625247999999999</v>
      </c>
      <c r="X34" s="28">
        <f t="shared" si="15"/>
        <v>12.416831999999999</v>
      </c>
      <c r="Y34" s="28">
        <f t="shared" si="16"/>
        <v>27.937871999999999</v>
      </c>
      <c r="Z34" s="28">
        <f t="shared" si="17"/>
        <v>145.89777599999999</v>
      </c>
      <c r="AA34" s="81">
        <f t="shared" si="18"/>
        <v>474.94382399999995</v>
      </c>
      <c r="AB34" s="81">
        <f>IF(D34&gt;38,'DATOS REFERENCIALES'!$D$10,'DATOS REFERENCIALES'!$E$10*D34)</f>
        <v>80</v>
      </c>
      <c r="AC34" s="81">
        <f>IF(D34&gt;41,IF((('DATOS REFERENCIALES'!$D$9)-((T34-S34)-(Z34-S34*0.235)+(AB34)))&lt;0,0,((('DATOS REFERENCIALES'!$D$9)-((T34-S34)-(Z34-S34*0.235)+(AB34))))),IF((('DATOS REFERENCIALES'!$E$9*D34)-(((T34-S34)-(Z34-S34*0.235)+(AB34))))&lt;0,0,('DATOS REFERENCIALES'!$E$9*D34)-((T34-S34)-(Z34-S34*0.235)+(AB34))))</f>
        <v>302.55617600000005</v>
      </c>
      <c r="AD34" s="81">
        <f t="shared" si="19"/>
        <v>857.5</v>
      </c>
      <c r="AE34" s="93">
        <f>IF(D34&gt;30,'DATOS REFERENCIALES'!$D$13,('DATOS REFERENCIALES'!$E$13*D34))</f>
        <v>80.666659999999993</v>
      </c>
      <c r="AF34" s="273"/>
      <c r="AG34" s="159">
        <f>IF(D21&gt;'DATOS REFERENCIALES'!$I$17,'DATOS REFERENCIALES'!$D$17,('DATOS REFERENCIALES'!$E$17*D21))</f>
        <v>75</v>
      </c>
      <c r="AH34" s="151">
        <f>IF(D34&gt;'DATOS REFERENCIALES'!$I$12,'DATOS REFERENCIALES'!$D$12,'DATOS REFERENCIALES'!$E$12*D34)</f>
        <v>14</v>
      </c>
      <c r="AI34" s="81">
        <f>SUM(AD34:AH34)</f>
        <v>1027.1666599999999</v>
      </c>
      <c r="AJ34" s="568">
        <f>IF(D34&gt;'DATOS REFERENCIALES'!$I$16,'DATOS REFERENCIALES'!$D$16,'DATOS REFERENCIALES'!$E$16*D34)</f>
        <v>51.47</v>
      </c>
      <c r="AK34" s="28">
        <f t="shared" si="20"/>
        <v>12.09545</v>
      </c>
      <c r="AL34" s="28">
        <f t="shared" si="21"/>
        <v>39.374549999999999</v>
      </c>
      <c r="AM34" s="570">
        <f>AI34+AL34</f>
        <v>1066.5412099999999</v>
      </c>
      <c r="AN34" s="17"/>
      <c r="AO34" s="17"/>
    </row>
    <row r="35" spans="1:43" s="1" customFormat="1" ht="15" x14ac:dyDescent="0.2">
      <c r="A35" s="43"/>
      <c r="B35" s="97"/>
      <c r="C35" s="44"/>
      <c r="D35" s="44"/>
      <c r="E35" s="44"/>
      <c r="F35" s="44"/>
      <c r="G35" s="67"/>
      <c r="H35" s="44"/>
      <c r="I35" s="44"/>
      <c r="J35" s="44"/>
      <c r="K35" s="41"/>
      <c r="L35" s="41"/>
      <c r="M35" s="41"/>
      <c r="N35" s="42"/>
      <c r="O35" s="74"/>
      <c r="P35" s="41"/>
      <c r="Q35" s="42"/>
      <c r="R35" s="74"/>
      <c r="S35" s="74"/>
      <c r="T35" s="74"/>
      <c r="U35" s="74"/>
      <c r="V35" s="74"/>
      <c r="W35" s="74"/>
      <c r="X35" s="74"/>
      <c r="Y35" s="74"/>
      <c r="Z35" s="74"/>
      <c r="AA35" s="45"/>
      <c r="AB35" s="46"/>
      <c r="AC35" s="45"/>
      <c r="AD35" s="45"/>
      <c r="AE35" s="47"/>
      <c r="AF35" s="47"/>
      <c r="AG35" s="69"/>
      <c r="AH35" s="69"/>
      <c r="AI35" s="45"/>
      <c r="AJ35" s="564"/>
      <c r="AK35" s="16"/>
      <c r="AL35" s="17"/>
      <c r="AM35" s="16"/>
      <c r="AN35" s="17"/>
      <c r="AO35" s="17"/>
    </row>
    <row r="36" spans="1:43" s="1" customFormat="1" ht="15.75" thickBot="1" x14ac:dyDescent="0.25">
      <c r="A36" s="43"/>
      <c r="B36" s="97"/>
      <c r="C36" s="44"/>
      <c r="D36" s="44"/>
      <c r="E36" s="44"/>
      <c r="F36" s="44"/>
      <c r="G36" s="67"/>
      <c r="H36" s="44"/>
      <c r="I36" s="44"/>
      <c r="J36" s="44"/>
      <c r="K36" s="41"/>
      <c r="L36" s="41"/>
      <c r="M36" s="41"/>
      <c r="N36" s="42"/>
      <c r="O36" s="74"/>
      <c r="P36" s="41"/>
      <c r="Q36" s="42"/>
      <c r="R36" s="74"/>
      <c r="S36" s="74"/>
      <c r="T36" s="74"/>
      <c r="U36" s="74"/>
      <c r="V36" s="74"/>
      <c r="W36" s="74"/>
      <c r="X36" s="74"/>
      <c r="Y36" s="74"/>
      <c r="Z36" s="74"/>
      <c r="AA36" s="45"/>
      <c r="AB36" s="46"/>
      <c r="AC36" s="45"/>
      <c r="AD36" s="45"/>
      <c r="AE36" s="47"/>
      <c r="AF36" s="47"/>
      <c r="AG36" s="69"/>
      <c r="AH36" s="69"/>
      <c r="AI36" s="45"/>
      <c r="AJ36" s="564"/>
      <c r="AK36" s="16"/>
      <c r="AL36" s="17"/>
      <c r="AM36" s="16"/>
      <c r="AN36" s="17"/>
      <c r="AO36" s="17"/>
    </row>
    <row r="37" spans="1:43" s="1" customFormat="1" ht="21" thickBot="1" x14ac:dyDescent="0.35">
      <c r="A37" s="95" t="s">
        <v>130</v>
      </c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5" t="s">
        <v>130</v>
      </c>
      <c r="AF37" s="96"/>
      <c r="AG37" s="96"/>
      <c r="AH37" s="96"/>
      <c r="AI37" s="96"/>
      <c r="AJ37" s="564"/>
      <c r="AK37" s="13"/>
      <c r="AL37" s="13"/>
      <c r="AM37" s="16"/>
      <c r="AN37" s="17"/>
      <c r="AO37" s="17"/>
    </row>
    <row r="38" spans="1:43" s="2" customFormat="1" ht="33" customHeight="1" thickBot="1" x14ac:dyDescent="0.25">
      <c r="A38" s="691" t="s">
        <v>1</v>
      </c>
      <c r="B38" s="691" t="s">
        <v>0</v>
      </c>
      <c r="C38" s="629" t="s">
        <v>77</v>
      </c>
      <c r="D38" s="629" t="s">
        <v>119</v>
      </c>
      <c r="E38" s="629" t="s">
        <v>112</v>
      </c>
      <c r="F38" s="629" t="s">
        <v>113</v>
      </c>
      <c r="G38" s="629" t="s">
        <v>102</v>
      </c>
      <c r="H38" s="629" t="s">
        <v>79</v>
      </c>
      <c r="I38" s="629" t="s">
        <v>148</v>
      </c>
      <c r="J38" s="627" t="s">
        <v>147</v>
      </c>
      <c r="K38" s="627" t="s">
        <v>121</v>
      </c>
      <c r="L38" s="627" t="s">
        <v>146</v>
      </c>
      <c r="M38" s="627" t="s">
        <v>147</v>
      </c>
      <c r="N38" s="645" t="s">
        <v>85</v>
      </c>
      <c r="O38" s="645" t="s">
        <v>120</v>
      </c>
      <c r="P38" s="647" t="s">
        <v>86</v>
      </c>
      <c r="Q38" s="645" t="s">
        <v>101</v>
      </c>
      <c r="R38" s="645" t="s">
        <v>84</v>
      </c>
      <c r="S38" s="629" t="s">
        <v>192</v>
      </c>
      <c r="T38" s="645" t="s">
        <v>69</v>
      </c>
      <c r="U38" s="682" t="s">
        <v>59</v>
      </c>
      <c r="V38" s="683"/>
      <c r="W38" s="683"/>
      <c r="X38" s="683"/>
      <c r="Y38" s="684"/>
      <c r="Z38" s="673" t="s">
        <v>68</v>
      </c>
      <c r="AA38" s="629" t="s">
        <v>89</v>
      </c>
      <c r="AB38" s="629" t="s">
        <v>88</v>
      </c>
      <c r="AC38" s="629" t="s">
        <v>87</v>
      </c>
      <c r="AD38" s="629" t="s">
        <v>91</v>
      </c>
      <c r="AE38" s="629" t="s">
        <v>90</v>
      </c>
      <c r="AF38" s="629" t="s">
        <v>174</v>
      </c>
      <c r="AG38" s="629" t="s">
        <v>196</v>
      </c>
      <c r="AH38" s="673" t="s">
        <v>145</v>
      </c>
      <c r="AI38" s="629" t="s">
        <v>92</v>
      </c>
      <c r="AJ38" s="629" t="s">
        <v>192</v>
      </c>
      <c r="AK38" s="631" t="s">
        <v>68</v>
      </c>
      <c r="AL38" s="629" t="s">
        <v>194</v>
      </c>
      <c r="AM38" s="629" t="s">
        <v>195</v>
      </c>
      <c r="AN38" s="17"/>
      <c r="AO38" s="17"/>
    </row>
    <row r="39" spans="1:43" s="2" customFormat="1" ht="89.25" customHeight="1" thickBot="1" x14ac:dyDescent="0.25">
      <c r="A39" s="692"/>
      <c r="B39" s="692"/>
      <c r="C39" s="630"/>
      <c r="D39" s="630"/>
      <c r="E39" s="630"/>
      <c r="F39" s="630"/>
      <c r="G39" s="630"/>
      <c r="H39" s="630"/>
      <c r="I39" s="630"/>
      <c r="J39" s="628"/>
      <c r="K39" s="628"/>
      <c r="L39" s="628"/>
      <c r="M39" s="628"/>
      <c r="N39" s="646"/>
      <c r="O39" s="646"/>
      <c r="P39" s="648"/>
      <c r="Q39" s="646"/>
      <c r="R39" s="646"/>
      <c r="S39" s="630"/>
      <c r="T39" s="646"/>
      <c r="U39" s="78" t="s">
        <v>141</v>
      </c>
      <c r="V39" s="105" t="s">
        <v>61</v>
      </c>
      <c r="W39" s="105" t="s">
        <v>62</v>
      </c>
      <c r="X39" s="105" t="s">
        <v>63</v>
      </c>
      <c r="Y39" s="105" t="s">
        <v>64</v>
      </c>
      <c r="Z39" s="681"/>
      <c r="AA39" s="630"/>
      <c r="AB39" s="630"/>
      <c r="AC39" s="630"/>
      <c r="AD39" s="630"/>
      <c r="AE39" s="630"/>
      <c r="AF39" s="630"/>
      <c r="AG39" s="630"/>
      <c r="AH39" s="630"/>
      <c r="AI39" s="630"/>
      <c r="AJ39" s="630"/>
      <c r="AK39" s="632"/>
      <c r="AL39" s="630"/>
      <c r="AM39" s="630"/>
      <c r="AN39" s="17"/>
      <c r="AO39" s="17"/>
    </row>
    <row r="40" spans="1:43" s="1" customFormat="1" ht="21.75" customHeight="1" x14ac:dyDescent="0.2">
      <c r="A40" s="433">
        <v>578</v>
      </c>
      <c r="B40" s="411" t="s">
        <v>5</v>
      </c>
      <c r="C40" s="340">
        <v>0</v>
      </c>
      <c r="D40" s="340"/>
      <c r="E40" s="341"/>
      <c r="F40" s="342"/>
      <c r="G40" s="343">
        <v>1187</v>
      </c>
      <c r="H40" s="340">
        <f>SUM(G40:G40)</f>
        <v>1187</v>
      </c>
      <c r="I40" s="340"/>
      <c r="J40" s="340"/>
      <c r="K40" s="345">
        <f>H40*'DATOS REFERENCIALES'!$C$4</f>
        <v>7627.6620000000003</v>
      </c>
      <c r="L40" s="345"/>
      <c r="M40" s="345"/>
      <c r="N40" s="347">
        <f>LOOKUP(C40,'TABLA ANTIG.'!$A$4:$A$39,'TABLA ANTIG.'!$B$4:$B$39)*(K40)</f>
        <v>0</v>
      </c>
      <c r="O40" s="347">
        <f>K40*0.1</f>
        <v>762.76620000000003</v>
      </c>
      <c r="P40" s="345">
        <f>'DATOS REFERENCIALES'!$C$8</f>
        <v>4275</v>
      </c>
      <c r="Q40" s="347">
        <f>LOOKUP(C40,'TABLA ANTIG.'!$A$4:$A$39,'TABLA ANTIG.'!$B$4:$B$39)*(P40)</f>
        <v>0</v>
      </c>
      <c r="R40" s="346">
        <v>0</v>
      </c>
      <c r="S40" s="347">
        <f>'DATOS REFERENCIALES'!$C$14</f>
        <v>0</v>
      </c>
      <c r="T40" s="347">
        <f>K40+N40+O40+P40+Q40+R40+S40</f>
        <v>12665.4282</v>
      </c>
      <c r="U40" s="351">
        <f t="shared" ref="U40:U45" si="22">$T40*11%</f>
        <v>1393.1971020000001</v>
      </c>
      <c r="V40" s="347">
        <f t="shared" ref="V40:W45" si="23">$T40*3%</f>
        <v>379.96284600000001</v>
      </c>
      <c r="W40" s="347">
        <f t="shared" si="23"/>
        <v>379.96284600000001</v>
      </c>
      <c r="X40" s="347">
        <f t="shared" ref="X40:X45" si="24">$T40*2%</f>
        <v>253.30856400000002</v>
      </c>
      <c r="Y40" s="347">
        <f t="shared" ref="Y40:Y45" si="25">$T40*4.5%</f>
        <v>569.94426899999996</v>
      </c>
      <c r="Z40" s="347">
        <f t="shared" ref="Z40:Z45" si="26">SUM(U40:Y40)</f>
        <v>2976.3756269999999</v>
      </c>
      <c r="AA40" s="347">
        <f t="shared" ref="AA40:AA45" si="27">T40-Z40</f>
        <v>9689.0525730000008</v>
      </c>
      <c r="AB40" s="347">
        <f>'DATOS REFERENCIALES'!$C$10</f>
        <v>1520</v>
      </c>
      <c r="AC40" s="427">
        <f>IF((IF(H40&gt;1119,('DATOS REFERENCIALES'!$C$9-(T40-U40-V40-W40-X40-Y40+AB40-L40-L40*0.235-(S40-S40*0.235))),(('DATOS REFERENCIALES'!$C$9/1120)*H40)-(K40+N40+O40+P40+Q40+R40-U40-V40-W40-X40-Y40+AB40-(L40-L40*0.235)-(S40*0.235))))&lt;0,0,IF(H40&gt;1119,(('DATOS REFERENCIALES'!$C$9)-(T40-U40-V40-W40-X40-Y40+AB40-(L40-L40*0.235)-(S40-S40*0.235))),(('DATOS REFERENCIALES'!$C$9/1120)*H40)-(K40+N40+O40+P40+Q40+R40-U40-V40-W40-X40-Y40+AB40-(L40-L40*0.235)-(S40*0.235))))</f>
        <v>5940.947427000001</v>
      </c>
      <c r="AD40" s="347">
        <f t="shared" ref="AD40:AD45" si="28">SUM(AA40:AC40)</f>
        <v>17150</v>
      </c>
      <c r="AE40" s="352">
        <f>'DATOS REFERENCIALES'!$C$13</f>
        <v>1210</v>
      </c>
      <c r="AF40" s="374"/>
      <c r="AG40" s="351">
        <f>IF($H11&gt;1119,'DATOS REFERENCIALES'!C17,'DATOS REFERENCIALES'!C17/1120*$H11)</f>
        <v>1500</v>
      </c>
      <c r="AH40" s="350">
        <f>'DATOS REFERENCIALES'!$C$12</f>
        <v>210</v>
      </c>
      <c r="AI40" s="633">
        <f>SUM(AD40:AH40)+SUM(AD41:AH41)</f>
        <v>20936.548509749999</v>
      </c>
      <c r="AJ40" s="613">
        <f>'DATOS REFERENCIALES'!C16</f>
        <v>772</v>
      </c>
      <c r="AK40" s="633">
        <f t="shared" ref="AK40:AK45" si="29">AJ40*$AK$8</f>
        <v>181.42</v>
      </c>
      <c r="AL40" s="633">
        <f>AJ40-AK40</f>
        <v>590.58000000000004</v>
      </c>
      <c r="AM40" s="635">
        <f>AI40+AL40</f>
        <v>21527.12850975</v>
      </c>
      <c r="AN40" s="17"/>
      <c r="AO40" s="17"/>
    </row>
    <row r="41" spans="1:43" s="1" customFormat="1" ht="24" customHeight="1" thickBot="1" x14ac:dyDescent="0.25">
      <c r="A41" s="434">
        <v>578</v>
      </c>
      <c r="B41" s="413" t="s">
        <v>5</v>
      </c>
      <c r="C41" s="355">
        <f>IF(C40&gt;0,C40,0)</f>
        <v>0</v>
      </c>
      <c r="D41" s="355"/>
      <c r="E41" s="356"/>
      <c r="F41" s="357"/>
      <c r="G41" s="358"/>
      <c r="H41" s="355"/>
      <c r="I41" s="355">
        <v>89.03</v>
      </c>
      <c r="J41" s="435">
        <v>0.06</v>
      </c>
      <c r="K41" s="360"/>
      <c r="L41" s="360">
        <f>I41*'DATOS REFERENCIALES'!$C$4</f>
        <v>572.10678000000007</v>
      </c>
      <c r="M41" s="360">
        <f>K40*J41</f>
        <v>457.65971999999999</v>
      </c>
      <c r="N41" s="362">
        <f>LOOKUP(C41,'TABLA ANTIG.'!$A$4:$A$39,'TABLA ANTIG.'!$B$4:$B$39)*(L41+M41)</f>
        <v>0</v>
      </c>
      <c r="O41" s="362">
        <f>(L41+M41)*0.1</f>
        <v>102.97665000000002</v>
      </c>
      <c r="P41" s="360"/>
      <c r="Q41" s="362"/>
      <c r="R41" s="361"/>
      <c r="S41" s="362"/>
      <c r="T41" s="362">
        <f>L41+M41+N41+O41+P41+Q41+R41</f>
        <v>1132.7431500000002</v>
      </c>
      <c r="U41" s="361">
        <f t="shared" si="22"/>
        <v>124.60174650000003</v>
      </c>
      <c r="V41" s="362">
        <f t="shared" si="23"/>
        <v>33.982294500000009</v>
      </c>
      <c r="W41" s="365">
        <f t="shared" si="23"/>
        <v>33.982294500000009</v>
      </c>
      <c r="X41" s="362">
        <f t="shared" si="24"/>
        <v>22.654863000000006</v>
      </c>
      <c r="Y41" s="362">
        <f t="shared" si="25"/>
        <v>50.973441750000006</v>
      </c>
      <c r="Z41" s="362">
        <f t="shared" si="26"/>
        <v>266.19464025000002</v>
      </c>
      <c r="AA41" s="366">
        <f t="shared" si="27"/>
        <v>866.54850975000022</v>
      </c>
      <c r="AB41" s="362"/>
      <c r="AC41" s="362"/>
      <c r="AD41" s="361">
        <f t="shared" si="28"/>
        <v>866.54850975000022</v>
      </c>
      <c r="AE41" s="367"/>
      <c r="AF41" s="380"/>
      <c r="AG41" s="361"/>
      <c r="AH41" s="362"/>
      <c r="AI41" s="634"/>
      <c r="AJ41" s="614"/>
      <c r="AK41" s="634"/>
      <c r="AL41" s="634"/>
      <c r="AM41" s="636"/>
      <c r="AN41" s="17"/>
      <c r="AO41" s="17"/>
    </row>
    <row r="42" spans="1:43" s="1" customFormat="1" ht="22.5" customHeight="1" x14ac:dyDescent="0.2">
      <c r="A42" s="436">
        <v>854</v>
      </c>
      <c r="B42" s="278" t="s">
        <v>4</v>
      </c>
      <c r="C42" s="279">
        <v>0</v>
      </c>
      <c r="D42" s="279"/>
      <c r="E42" s="328"/>
      <c r="F42" s="329"/>
      <c r="G42" s="330">
        <v>960</v>
      </c>
      <c r="H42" s="279">
        <f>SUM(G42:G42)</f>
        <v>960</v>
      </c>
      <c r="I42" s="279"/>
      <c r="J42" s="279"/>
      <c r="K42" s="281">
        <f>H42*'DATOS REFERENCIALES'!$C$4</f>
        <v>6168.96</v>
      </c>
      <c r="L42" s="281"/>
      <c r="M42" s="281"/>
      <c r="N42" s="283">
        <f>LOOKUP(C42,'TABLA ANTIG.'!$A$4:$A$39,'TABLA ANTIG.'!$B$4:$B$39)*(K42)</f>
        <v>0</v>
      </c>
      <c r="O42" s="283">
        <f>K42*0.1</f>
        <v>616.89600000000007</v>
      </c>
      <c r="P42" s="281">
        <f>'DATOS REFERENCIALES'!$C$8</f>
        <v>4275</v>
      </c>
      <c r="Q42" s="283">
        <f>LOOKUP(C42,'TABLA ANTIG.'!$A$4:$A$39,'TABLA ANTIG.'!$B$4:$B$39)*(P42)</f>
        <v>0</v>
      </c>
      <c r="R42" s="287">
        <v>0</v>
      </c>
      <c r="S42" s="283">
        <f>'DATOS REFERENCIALES'!$C$14</f>
        <v>0</v>
      </c>
      <c r="T42" s="283">
        <f>K42+N42+O42+P42+Q42+R42+S42</f>
        <v>11060.856</v>
      </c>
      <c r="U42" s="285">
        <f t="shared" si="22"/>
        <v>1216.69416</v>
      </c>
      <c r="V42" s="283">
        <f t="shared" si="23"/>
        <v>331.82567999999998</v>
      </c>
      <c r="W42" s="283">
        <f t="shared" si="23"/>
        <v>331.82567999999998</v>
      </c>
      <c r="X42" s="283">
        <f t="shared" si="24"/>
        <v>221.21711999999999</v>
      </c>
      <c r="Y42" s="283">
        <f t="shared" si="25"/>
        <v>497.73851999999999</v>
      </c>
      <c r="Z42" s="283">
        <f t="shared" si="26"/>
        <v>2599.3011599999995</v>
      </c>
      <c r="AA42" s="283">
        <f t="shared" si="27"/>
        <v>8461.5548400000007</v>
      </c>
      <c r="AB42" s="283">
        <f>'DATOS REFERENCIALES'!$C$10</f>
        <v>1520</v>
      </c>
      <c r="AC42" s="420">
        <f>IF((IF(H42&gt;1119,('DATOS REFERENCIALES'!$C$9-(T42-U42-V42-W42-X42-Y42+AB42-L42-L42*0.235-(S42-S42*0.235))),(('DATOS REFERENCIALES'!$C$9/1120)*H42)-(K42+N42+O42+P42+Q42+R42-U42-V42-W42-X42-Y42+AB42-(L42-L42*0.235)-(S42*0.235))))&lt;0,0,IF(H42&gt;1119,(('DATOS REFERENCIALES'!$C$9)-(T42-(U42+V42+W42+X42+Y42)+AB42-(L42-L42*0.235)+(S42-S42*0.235))),(('DATOS REFERENCIALES'!$C$9/1120)*H42)-((K42+N42+O42+P42+Q42+R42)-(U42+V42+W42+X42+Y42)+AB42-(L42-L42*0.235)+(S42*0.235))))</f>
        <v>4718.4451599999993</v>
      </c>
      <c r="AD42" s="283">
        <f t="shared" si="28"/>
        <v>14700</v>
      </c>
      <c r="AE42" s="288">
        <f>'DATOS REFERENCIALES'!$C$13</f>
        <v>1210</v>
      </c>
      <c r="AF42" s="404"/>
      <c r="AG42" s="285">
        <f>IF($H11&gt;1119,'DATOS REFERENCIALES'!C17,'DATOS REFERENCIALES'!C17/1120*$H11)</f>
        <v>1500</v>
      </c>
      <c r="AH42" s="286">
        <f>'DATOS REFERENCIALES'!$C$12</f>
        <v>210</v>
      </c>
      <c r="AI42" s="639">
        <f>SUM(AD42:AH42)+SUM(AD43:AH43)</f>
        <v>18009.338488000001</v>
      </c>
      <c r="AJ42" s="637">
        <f>'DATOS REFERENCIALES'!C16</f>
        <v>772</v>
      </c>
      <c r="AK42" s="639">
        <f t="shared" si="29"/>
        <v>181.42</v>
      </c>
      <c r="AL42" s="639">
        <f>AJ42-AK42</f>
        <v>590.58000000000004</v>
      </c>
      <c r="AM42" s="641">
        <f>AI42+AL42</f>
        <v>18599.918488000003</v>
      </c>
      <c r="AN42" s="17"/>
      <c r="AO42" s="17"/>
    </row>
    <row r="43" spans="1:43" s="1" customFormat="1" ht="22.5" customHeight="1" thickBot="1" x14ac:dyDescent="0.25">
      <c r="A43" s="437">
        <v>854</v>
      </c>
      <c r="B43" s="422" t="s">
        <v>4</v>
      </c>
      <c r="C43" s="291">
        <f>IF(C42&gt;0,C42,0)</f>
        <v>0</v>
      </c>
      <c r="D43" s="331"/>
      <c r="E43" s="332"/>
      <c r="F43" s="333"/>
      <c r="G43" s="334"/>
      <c r="H43" s="331"/>
      <c r="I43" s="331">
        <v>72</v>
      </c>
      <c r="J43" s="424"/>
      <c r="K43" s="335"/>
      <c r="L43" s="335">
        <f>I43*'DATOS REFERENCIALES'!$C$4</f>
        <v>462.67200000000003</v>
      </c>
      <c r="M43" s="335"/>
      <c r="N43" s="302">
        <f>LOOKUP(C43,'TABLA ANTIG.'!$A$4:$A$39,'TABLA ANTIG.'!$B$4:$B$39)*(L43+M43)</f>
        <v>0</v>
      </c>
      <c r="O43" s="302">
        <f>(L43+M43)*0.1</f>
        <v>46.267200000000003</v>
      </c>
      <c r="P43" s="335"/>
      <c r="Q43" s="302"/>
      <c r="R43" s="300"/>
      <c r="S43" s="336"/>
      <c r="T43" s="302">
        <f>L43+M43+N43+O43+P43+Q43+R43</f>
        <v>508.93920000000003</v>
      </c>
      <c r="U43" s="300">
        <f t="shared" si="22"/>
        <v>55.983312000000005</v>
      </c>
      <c r="V43" s="302">
        <f t="shared" si="23"/>
        <v>15.268176</v>
      </c>
      <c r="W43" s="336">
        <f t="shared" si="23"/>
        <v>15.268176</v>
      </c>
      <c r="X43" s="302">
        <f t="shared" si="24"/>
        <v>10.178784</v>
      </c>
      <c r="Y43" s="302">
        <f t="shared" si="25"/>
        <v>22.902263999999999</v>
      </c>
      <c r="Z43" s="302">
        <f t="shared" si="26"/>
        <v>119.60071200000002</v>
      </c>
      <c r="AA43" s="337">
        <f t="shared" si="27"/>
        <v>389.33848799999998</v>
      </c>
      <c r="AB43" s="302"/>
      <c r="AC43" s="302"/>
      <c r="AD43" s="300">
        <f t="shared" si="28"/>
        <v>389.33848799999998</v>
      </c>
      <c r="AE43" s="531"/>
      <c r="AF43" s="438"/>
      <c r="AG43" s="300"/>
      <c r="AH43" s="302"/>
      <c r="AI43" s="640"/>
      <c r="AJ43" s="674"/>
      <c r="AK43" s="675"/>
      <c r="AL43" s="675"/>
      <c r="AM43" s="676"/>
      <c r="AN43" s="17"/>
      <c r="AO43" s="17"/>
    </row>
    <row r="44" spans="1:43" s="1" customFormat="1" ht="22.5" customHeight="1" x14ac:dyDescent="0.2">
      <c r="A44" s="222">
        <v>577</v>
      </c>
      <c r="B44" s="162" t="s">
        <v>10</v>
      </c>
      <c r="C44" s="120">
        <v>0</v>
      </c>
      <c r="D44" s="190"/>
      <c r="E44" s="223"/>
      <c r="F44" s="190"/>
      <c r="G44" s="219">
        <v>829.75</v>
      </c>
      <c r="H44" s="190">
        <f>SUM(G44:G44)</f>
        <v>829.75</v>
      </c>
      <c r="I44" s="190"/>
      <c r="J44" s="190"/>
      <c r="K44" s="106">
        <f>H44*'DATOS REFERENCIALES'!$C$4</f>
        <v>5331.9735000000001</v>
      </c>
      <c r="L44" s="106"/>
      <c r="M44" s="106"/>
      <c r="N44" s="107">
        <f>LOOKUP(C44,'TABLA ANTIG.'!$A$4:$A$39,'TABLA ANTIG.'!$B$4:$B$39)*(K44)</f>
        <v>0</v>
      </c>
      <c r="O44" s="114">
        <f>K44*0.1</f>
        <v>533.19735000000003</v>
      </c>
      <c r="P44" s="106">
        <f>'DATOS REFERENCIALES'!$C$8</f>
        <v>4275</v>
      </c>
      <c r="Q44" s="107">
        <f>LOOKUP(C44,'TABLA ANTIG.'!$A$4:$A$39,'TABLA ANTIG.'!$B$4:$B$39)*(P44)</f>
        <v>0</v>
      </c>
      <c r="R44" s="224">
        <v>0</v>
      </c>
      <c r="S44" s="79">
        <f>'DATOS REFERENCIALES'!$C$14</f>
        <v>0</v>
      </c>
      <c r="T44" s="114">
        <f>K44+N44+O44+P44+Q44+R44+S44</f>
        <v>10140.17085</v>
      </c>
      <c r="U44" s="214">
        <f t="shared" si="22"/>
        <v>1115.4187935</v>
      </c>
      <c r="V44" s="114">
        <f t="shared" si="23"/>
        <v>304.20512550000001</v>
      </c>
      <c r="W44" s="114">
        <f t="shared" si="23"/>
        <v>304.20512550000001</v>
      </c>
      <c r="X44" s="114">
        <f t="shared" si="24"/>
        <v>202.80341700000002</v>
      </c>
      <c r="Y44" s="114">
        <f t="shared" si="25"/>
        <v>456.30768825000001</v>
      </c>
      <c r="Z44" s="114">
        <f t="shared" si="26"/>
        <v>2382.9401497500003</v>
      </c>
      <c r="AA44" s="107">
        <f t="shared" si="27"/>
        <v>7757.2307002500002</v>
      </c>
      <c r="AB44" s="107">
        <f>'DATOS REFERENCIALES'!$C$10</f>
        <v>1520</v>
      </c>
      <c r="AC44" s="80">
        <f>IF((IF(H44&gt;1119,('DATOS REFERENCIALES'!$C$9-(T44-U44-V44-W44-X44-Y44+AB44-L44-L44*0.235-(S44-S44*0.235))),(('DATOS REFERENCIALES'!$C$9/1120)*H44)-(K44+N44+O44+P44+Q44+R44-U44-V44-W44-X44-Y44+AB44-(L44-L44*0.235)-(S44*0.235))))&lt;0,0,IF(H44&gt;1119,(('DATOS REFERENCIALES'!$C$9)-(T44-(U44+V44+W44+X44+Y44)+AB44-(L44-L44*0.235)+(S44-S44*0.235))),(('DATOS REFERENCIALES'!$C$9/1120)*H44)-((K44+N44+O44+P44+Q44+R44)-(U44+V44+W44+X44+Y44)+AB44-(L44-L44*0.235)+(S44*0.235))))</f>
        <v>3428.3161747499998</v>
      </c>
      <c r="AD44" s="107">
        <f t="shared" si="28"/>
        <v>12705.546875</v>
      </c>
      <c r="AE44" s="532">
        <f>'DATOS REFERENCIALES'!$C$13</f>
        <v>1210</v>
      </c>
      <c r="AF44" s="272"/>
      <c r="AG44" s="147">
        <f>IF($H44&gt;1119,'DATOS REFERENCIALES'!C17,'DATOS REFERENCIALES'!C17/1120*$H44)</f>
        <v>1111.2723214285713</v>
      </c>
      <c r="AH44" s="150">
        <f>'DATOS REFERENCIALES'!$C$12</f>
        <v>210</v>
      </c>
      <c r="AI44" s="150">
        <f>SUM(AD44:AH44)</f>
        <v>15236.819196428571</v>
      </c>
      <c r="AJ44" s="566">
        <f>'DATOS REFERENCIALES'!C16</f>
        <v>772</v>
      </c>
      <c r="AK44" s="549">
        <f t="shared" si="29"/>
        <v>181.42</v>
      </c>
      <c r="AL44" s="549">
        <f>AJ44-AK44</f>
        <v>590.58000000000004</v>
      </c>
      <c r="AM44" s="583">
        <f>AI44+AL44</f>
        <v>15827.399196428571</v>
      </c>
      <c r="AN44" s="17"/>
      <c r="AO44" s="17"/>
    </row>
    <row r="45" spans="1:43" s="33" customFormat="1" ht="28.5" customHeight="1" thickBot="1" x14ac:dyDescent="0.25">
      <c r="A45" s="221">
        <v>5568</v>
      </c>
      <c r="B45" s="103" t="s">
        <v>9</v>
      </c>
      <c r="C45" s="57">
        <v>0</v>
      </c>
      <c r="D45" s="24">
        <v>1</v>
      </c>
      <c r="E45" s="210"/>
      <c r="F45" s="57"/>
      <c r="G45" s="212">
        <v>56</v>
      </c>
      <c r="H45" s="57">
        <f>SUM(G45:G45)</f>
        <v>56</v>
      </c>
      <c r="I45" s="57"/>
      <c r="J45" s="57"/>
      <c r="K45" s="91">
        <f>(H45*'DATOS REFERENCIALES'!$C$4)*D45</f>
        <v>359.85599999999999</v>
      </c>
      <c r="L45" s="91"/>
      <c r="M45" s="91"/>
      <c r="N45" s="81">
        <f>LOOKUP(C45,'TABLA ANTIG.'!$A$4:$A$39,'TABLA ANTIG.'!$B$4:$B$39)*(K45)</f>
        <v>0</v>
      </c>
      <c r="O45" s="28">
        <f>K45*0.1</f>
        <v>35.985599999999998</v>
      </c>
      <c r="P45" s="91">
        <f>IF(D45&gt;48,'DATOS REFERENCIALES'!$D$8+('DATOS REFERENCIALES'!$F$8*10),IF(D45&lt;39,'DATOS REFERENCIALES'!$E$8*D45,((D45-'DATOS REFERENCIALES'!$I$8)*'DATOS REFERENCIALES'!$F$8)+'DATOS REFERENCIALES'!$D$8))</f>
        <v>225</v>
      </c>
      <c r="Q45" s="81">
        <f>LOOKUP(C45,'TABLA ANTIG.'!$A$4:$A$39,'TABLA ANTIG.'!$B$4:$B$39)*(P45)</f>
        <v>0</v>
      </c>
      <c r="R45" s="213">
        <v>0</v>
      </c>
      <c r="S45" s="91">
        <f>IF(D45&gt;29.99,'DATOS REFERENCIALES'!$D$14,'DATOS REFERENCIALES'!$E$14*D45)</f>
        <v>0</v>
      </c>
      <c r="T45" s="28">
        <f>K45+N45+O45+P45+Q45+R45+S45</f>
        <v>620.84159999999997</v>
      </c>
      <c r="U45" s="207">
        <f t="shared" si="22"/>
        <v>68.292575999999997</v>
      </c>
      <c r="V45" s="28">
        <f t="shared" si="23"/>
        <v>18.625247999999999</v>
      </c>
      <c r="W45" s="28">
        <f t="shared" si="23"/>
        <v>18.625247999999999</v>
      </c>
      <c r="X45" s="28">
        <f t="shared" si="24"/>
        <v>12.416831999999999</v>
      </c>
      <c r="Y45" s="28">
        <f t="shared" si="25"/>
        <v>27.937871999999999</v>
      </c>
      <c r="Z45" s="28">
        <f t="shared" si="26"/>
        <v>145.89777599999999</v>
      </c>
      <c r="AA45" s="81">
        <f t="shared" si="27"/>
        <v>474.94382399999995</v>
      </c>
      <c r="AB45" s="81">
        <f>IF(D45&gt;38,'DATOS REFERENCIALES'!$D$10,'DATOS REFERENCIALES'!$E$10*D45)</f>
        <v>80</v>
      </c>
      <c r="AC45" s="81">
        <f>IF(D45&gt;41,IF((('DATOS REFERENCIALES'!$D$9)-((T45-S45)-(Z45-S45*0.235)+(AB45)))&lt;0,0,((('DATOS REFERENCIALES'!$D$9)-((T45-S45)-(Z45-S45*0.235)+(AB45))))),IF((('DATOS REFERENCIALES'!$E$9*D45)-(((T45-S45)-(Z45-S45*0.235)+(AB45))))&lt;0,0,('DATOS REFERENCIALES'!$E$9*D45)-((T45-S45)-(Z45-S45*0.235)+(AB45))))</f>
        <v>302.55617600000005</v>
      </c>
      <c r="AD45" s="81">
        <f t="shared" si="28"/>
        <v>857.5</v>
      </c>
      <c r="AE45" s="93">
        <f>IF(D45&gt;30,'DATOS REFERENCIALES'!$D$13,('DATOS REFERENCIALES'!$E$13*D45))</f>
        <v>80.666659999999993</v>
      </c>
      <c r="AF45" s="273"/>
      <c r="AG45" s="159">
        <f>IF(D45&gt;'DATOS REFERENCIALES'!$I$17,'DATOS REFERENCIALES'!$D$17,('DATOS REFERENCIALES'!$E$17*D45))</f>
        <v>75</v>
      </c>
      <c r="AH45" s="151">
        <f>IF(D45&gt;'DATOS REFERENCIALES'!$I$12,'DATOS REFERENCIALES'!$D$12,'DATOS REFERENCIALES'!$E$12*D45)</f>
        <v>14</v>
      </c>
      <c r="AI45" s="151">
        <f>SUM(AD45:AH45)</f>
        <v>1027.1666599999999</v>
      </c>
      <c r="AJ45" s="568">
        <f>IF(D45&gt;'DATOS REFERENCIALES'!$I$16,'DATOS REFERENCIALES'!$D$16,'DATOS REFERENCIALES'!$E$16*D45)</f>
        <v>51.47</v>
      </c>
      <c r="AK45" s="28">
        <f t="shared" si="29"/>
        <v>12.09545</v>
      </c>
      <c r="AL45" s="28">
        <f>AJ45-AK45</f>
        <v>39.374549999999999</v>
      </c>
      <c r="AM45" s="584">
        <f>AI45+AL45</f>
        <v>1066.5412099999999</v>
      </c>
      <c r="AN45" s="32"/>
      <c r="AO45" s="32"/>
    </row>
  </sheetData>
  <mergeCells count="149">
    <mergeCell ref="K3:AA5"/>
    <mergeCell ref="A6:AI6"/>
    <mergeCell ref="A7:AI7"/>
    <mergeCell ref="A9:A10"/>
    <mergeCell ref="B9:B10"/>
    <mergeCell ref="Q38:Q39"/>
    <mergeCell ref="I38:I39"/>
    <mergeCell ref="J38:J39"/>
    <mergeCell ref="L38:L39"/>
    <mergeCell ref="M38:M39"/>
    <mergeCell ref="A38:A39"/>
    <mergeCell ref="A24:A25"/>
    <mergeCell ref="B38:B39"/>
    <mergeCell ref="C38:C39"/>
    <mergeCell ref="N38:N39"/>
    <mergeCell ref="D38:D39"/>
    <mergeCell ref="AD8:AI8"/>
    <mergeCell ref="D9:D10"/>
    <mergeCell ref="L9:L10"/>
    <mergeCell ref="P24:P25"/>
    <mergeCell ref="F24:F25"/>
    <mergeCell ref="AI24:AI25"/>
    <mergeCell ref="P9:P10"/>
    <mergeCell ref="R9:R10"/>
    <mergeCell ref="B24:B25"/>
    <mergeCell ref="AI40:AI41"/>
    <mergeCell ref="E38:E39"/>
    <mergeCell ref="F38:F39"/>
    <mergeCell ref="O38:O39"/>
    <mergeCell ref="AC38:AC39"/>
    <mergeCell ref="AI42:AI43"/>
    <mergeCell ref="AI11:AI12"/>
    <mergeCell ref="AI13:AI14"/>
    <mergeCell ref="AI15:AI16"/>
    <mergeCell ref="AI26:AI27"/>
    <mergeCell ref="AI28:AI29"/>
    <mergeCell ref="AI38:AI39"/>
    <mergeCell ref="AI30:AI31"/>
    <mergeCell ref="P38:P39"/>
    <mergeCell ref="R38:R39"/>
    <mergeCell ref="G38:G39"/>
    <mergeCell ref="H38:H39"/>
    <mergeCell ref="K24:K25"/>
    <mergeCell ref="K38:K39"/>
    <mergeCell ref="G24:G25"/>
    <mergeCell ref="R24:R25"/>
    <mergeCell ref="L24:L25"/>
    <mergeCell ref="M24:M25"/>
    <mergeCell ref="O9:O10"/>
    <mergeCell ref="C9:C10"/>
    <mergeCell ref="H24:H25"/>
    <mergeCell ref="O24:O25"/>
    <mergeCell ref="Q24:Q25"/>
    <mergeCell ref="Q9:Q10"/>
    <mergeCell ref="G9:G10"/>
    <mergeCell ref="D24:D25"/>
    <mergeCell ref="E24:E25"/>
    <mergeCell ref="C24:C25"/>
    <mergeCell ref="I9:I10"/>
    <mergeCell ref="J9:J10"/>
    <mergeCell ref="H9:H10"/>
    <mergeCell ref="N9:N10"/>
    <mergeCell ref="K9:K10"/>
    <mergeCell ref="N24:N25"/>
    <mergeCell ref="I24:I25"/>
    <mergeCell ref="J24:J25"/>
    <mergeCell ref="M9:M10"/>
    <mergeCell ref="E9:E10"/>
    <mergeCell ref="F9:F10"/>
    <mergeCell ref="AI9:AI10"/>
    <mergeCell ref="AC24:AC25"/>
    <mergeCell ref="AC9:AC10"/>
    <mergeCell ref="AE9:AE10"/>
    <mergeCell ref="AG38:AG39"/>
    <mergeCell ref="AD9:AD10"/>
    <mergeCell ref="AE38:AE39"/>
    <mergeCell ref="AD24:AD25"/>
    <mergeCell ref="AD38:AD39"/>
    <mergeCell ref="AH9:AH10"/>
    <mergeCell ref="AH24:AH25"/>
    <mergeCell ref="AH38:AH39"/>
    <mergeCell ref="AG9:AG10"/>
    <mergeCell ref="AG24:AG25"/>
    <mergeCell ref="AF9:AF10"/>
    <mergeCell ref="AF24:AF25"/>
    <mergeCell ref="AF38:AF39"/>
    <mergeCell ref="AE24:AE25"/>
    <mergeCell ref="S9:S10"/>
    <mergeCell ref="S24:S25"/>
    <mergeCell ref="S38:S39"/>
    <mergeCell ref="Z9:Z10"/>
    <mergeCell ref="AB24:AB25"/>
    <mergeCell ref="AA24:AA25"/>
    <mergeCell ref="AB9:AB10"/>
    <mergeCell ref="AA9:AA10"/>
    <mergeCell ref="U9:Y9"/>
    <mergeCell ref="U24:Y24"/>
    <mergeCell ref="T9:T10"/>
    <mergeCell ref="T38:T39"/>
    <mergeCell ref="AA38:AA39"/>
    <mergeCell ref="T24:T25"/>
    <mergeCell ref="Z38:Z39"/>
    <mergeCell ref="U38:Y38"/>
    <mergeCell ref="AB38:AB39"/>
    <mergeCell ref="Z24:Z25"/>
    <mergeCell ref="AJ13:AJ14"/>
    <mergeCell ref="AK13:AK14"/>
    <mergeCell ref="AL13:AL14"/>
    <mergeCell ref="AM13:AM14"/>
    <mergeCell ref="AJ15:AJ16"/>
    <mergeCell ref="AK15:AK16"/>
    <mergeCell ref="AL15:AL16"/>
    <mergeCell ref="AK24:AK25"/>
    <mergeCell ref="AL24:AL25"/>
    <mergeCell ref="AM9:AM10"/>
    <mergeCell ref="AM24:AM25"/>
    <mergeCell ref="AM38:AM39"/>
    <mergeCell ref="AJ11:AJ12"/>
    <mergeCell ref="AK11:AK12"/>
    <mergeCell ref="AJ28:AJ29"/>
    <mergeCell ref="AK28:AK29"/>
    <mergeCell ref="AL28:AL29"/>
    <mergeCell ref="AM28:AM29"/>
    <mergeCell ref="AJ30:AJ31"/>
    <mergeCell ref="AK30:AK31"/>
    <mergeCell ref="AL30:AL31"/>
    <mergeCell ref="AM30:AM31"/>
    <mergeCell ref="AJ9:AJ10"/>
    <mergeCell ref="AK9:AK10"/>
    <mergeCell ref="AL9:AL10"/>
    <mergeCell ref="AM15:AM16"/>
    <mergeCell ref="AJ26:AJ27"/>
    <mergeCell ref="AK26:AK27"/>
    <mergeCell ref="AL26:AL27"/>
    <mergeCell ref="AM26:AM27"/>
    <mergeCell ref="AJ24:AJ25"/>
    <mergeCell ref="AL11:AL12"/>
    <mergeCell ref="AM11:AM12"/>
    <mergeCell ref="AJ40:AJ41"/>
    <mergeCell ref="AK40:AK41"/>
    <mergeCell ref="AL40:AL41"/>
    <mergeCell ref="AM40:AM41"/>
    <mergeCell ref="AJ42:AJ43"/>
    <mergeCell ref="AK42:AK43"/>
    <mergeCell ref="AL42:AL43"/>
    <mergeCell ref="AM42:AM43"/>
    <mergeCell ref="AJ38:AJ39"/>
    <mergeCell ref="AK38:AK39"/>
    <mergeCell ref="AL38:AL39"/>
  </mergeCell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'DATOS REFERENCIALES'!$C$30:$C$37</xm:f>
          </x14:formula1>
          <xm:sqref>J27</xm:sqref>
        </x14:dataValidation>
        <x14:dataValidation type="list" allowBlank="1" showInputMessage="1" showErrorMessage="1">
          <x14:formula1>
            <xm:f>'DATOS REFERENCIALES'!$C$30:$C$37</xm:f>
          </x14:formula1>
          <xm:sqref>J12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S43"/>
  <sheetViews>
    <sheetView zoomScale="66" zoomScaleNormal="66" workbookViewId="0">
      <selection activeCell="A6" sqref="A6:AI6"/>
    </sheetView>
  </sheetViews>
  <sheetFormatPr baseColWidth="10" defaultRowHeight="12.75" x14ac:dyDescent="0.2"/>
  <cols>
    <col min="1" max="1" width="11.5703125" bestFit="1" customWidth="1"/>
    <col min="2" max="2" width="48.85546875" customWidth="1"/>
    <col min="3" max="3" width="11.5703125" bestFit="1" customWidth="1"/>
    <col min="5" max="5" width="13" hidden="1" customWidth="1"/>
    <col min="6" max="6" width="0" hidden="1" customWidth="1"/>
    <col min="7" max="7" width="11.5703125" hidden="1" customWidth="1"/>
    <col min="8" max="8" width="11.5703125" bestFit="1" customWidth="1"/>
    <col min="9" max="10" width="14" customWidth="1"/>
    <col min="11" max="11" width="14.85546875" bestFit="1" customWidth="1"/>
    <col min="12" max="12" width="14.7109375" customWidth="1"/>
    <col min="13" max="13" width="14.85546875" customWidth="1"/>
    <col min="14" max="14" width="18" customWidth="1"/>
    <col min="15" max="15" width="18.42578125" customWidth="1"/>
    <col min="16" max="16" width="13.42578125" bestFit="1" customWidth="1"/>
    <col min="17" max="17" width="16.5703125" customWidth="1"/>
    <col min="18" max="18" width="14" customWidth="1"/>
    <col min="19" max="19" width="14" hidden="1" customWidth="1"/>
    <col min="20" max="20" width="15.5703125" customWidth="1"/>
    <col min="21" max="21" width="13.7109375" customWidth="1"/>
    <col min="22" max="22" width="13.5703125" customWidth="1"/>
    <col min="23" max="23" width="13.28515625" customWidth="1"/>
    <col min="25" max="25" width="13.42578125" customWidth="1"/>
    <col min="26" max="26" width="14.140625" customWidth="1"/>
    <col min="27" max="27" width="15" customWidth="1"/>
    <col min="28" max="28" width="14.140625" customWidth="1"/>
    <col min="29" max="29" width="14.7109375" customWidth="1"/>
    <col min="30" max="30" width="15.85546875" customWidth="1"/>
    <col min="31" max="31" width="15" customWidth="1"/>
    <col min="32" max="32" width="16.7109375" hidden="1" customWidth="1"/>
    <col min="33" max="33" width="15.5703125" customWidth="1"/>
    <col min="34" max="34" width="14.7109375" customWidth="1"/>
    <col min="35" max="35" width="16" customWidth="1"/>
    <col min="39" max="39" width="12.5703125" customWidth="1"/>
  </cols>
  <sheetData>
    <row r="1" spans="1:45" s="1" customFormat="1" x14ac:dyDescent="0.2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45" s="1" customFormat="1" x14ac:dyDescent="0.2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</row>
    <row r="3" spans="1:45" s="1" customFormat="1" ht="12.75" customHeight="1" x14ac:dyDescent="0.2">
      <c r="A3" s="10"/>
      <c r="C3" s="13"/>
      <c r="D3" s="13"/>
      <c r="E3" s="13"/>
      <c r="F3" s="13"/>
      <c r="G3" s="13"/>
      <c r="H3" s="13"/>
      <c r="I3" s="13"/>
      <c r="J3" s="13"/>
      <c r="K3" s="664" t="s">
        <v>82</v>
      </c>
      <c r="L3" s="664"/>
      <c r="M3" s="664"/>
      <c r="N3" s="664"/>
      <c r="O3" s="664"/>
      <c r="P3" s="664"/>
      <c r="Q3" s="664"/>
      <c r="R3" s="664"/>
      <c r="S3" s="664"/>
      <c r="T3" s="664"/>
      <c r="U3" s="664"/>
      <c r="V3" s="664"/>
      <c r="W3" s="664"/>
      <c r="X3" s="664"/>
      <c r="Y3" s="664"/>
      <c r="Z3" s="664"/>
      <c r="AA3" s="664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1:45" s="1" customFormat="1" ht="12.75" customHeight="1" x14ac:dyDescent="0.2">
      <c r="A4" s="10"/>
      <c r="C4" s="13"/>
      <c r="D4" s="13"/>
      <c r="E4" s="13"/>
      <c r="F4" s="13"/>
      <c r="G4" s="13"/>
      <c r="H4" s="13"/>
      <c r="I4" s="13"/>
      <c r="J4" s="13"/>
      <c r="K4" s="664"/>
      <c r="L4" s="664"/>
      <c r="M4" s="664"/>
      <c r="N4" s="664"/>
      <c r="O4" s="664"/>
      <c r="P4" s="664"/>
      <c r="Q4" s="664"/>
      <c r="R4" s="664"/>
      <c r="S4" s="664"/>
      <c r="T4" s="664"/>
      <c r="U4" s="664"/>
      <c r="V4" s="664"/>
      <c r="W4" s="664"/>
      <c r="X4" s="664"/>
      <c r="Y4" s="664"/>
      <c r="Z4" s="664"/>
      <c r="AA4" s="664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</row>
    <row r="5" spans="1:45" s="1" customFormat="1" ht="12.75" customHeight="1" x14ac:dyDescent="0.2">
      <c r="A5" s="10"/>
      <c r="C5" s="13"/>
      <c r="D5" s="13"/>
      <c r="E5" s="13"/>
      <c r="F5" s="13"/>
      <c r="G5" s="13"/>
      <c r="H5" s="13"/>
      <c r="I5" s="13"/>
      <c r="J5" s="13"/>
      <c r="K5" s="664"/>
      <c r="L5" s="664"/>
      <c r="M5" s="664"/>
      <c r="N5" s="664"/>
      <c r="O5" s="664"/>
      <c r="P5" s="664"/>
      <c r="Q5" s="664"/>
      <c r="R5" s="664"/>
      <c r="S5" s="664"/>
      <c r="T5" s="664"/>
      <c r="U5" s="664"/>
      <c r="V5" s="664"/>
      <c r="W5" s="664"/>
      <c r="X5" s="664"/>
      <c r="Y5" s="664"/>
      <c r="Z5" s="664"/>
      <c r="AA5" s="664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</row>
    <row r="6" spans="1:45" s="1" customFormat="1" ht="27.75" x14ac:dyDescent="0.4">
      <c r="A6" s="659" t="s">
        <v>198</v>
      </c>
      <c r="B6" s="659"/>
      <c r="C6" s="659"/>
      <c r="D6" s="659"/>
      <c r="E6" s="659"/>
      <c r="F6" s="659"/>
      <c r="G6" s="659"/>
      <c r="H6" s="659"/>
      <c r="I6" s="659"/>
      <c r="J6" s="659"/>
      <c r="K6" s="659"/>
      <c r="L6" s="659"/>
      <c r="M6" s="659"/>
      <c r="N6" s="659"/>
      <c r="O6" s="659"/>
      <c r="P6" s="659"/>
      <c r="Q6" s="659"/>
      <c r="R6" s="659"/>
      <c r="S6" s="659"/>
      <c r="T6" s="659"/>
      <c r="U6" s="659"/>
      <c r="V6" s="659"/>
      <c r="W6" s="659"/>
      <c r="X6" s="659"/>
      <c r="Y6" s="659"/>
      <c r="Z6" s="659"/>
      <c r="AA6" s="659"/>
      <c r="AB6" s="659"/>
      <c r="AC6" s="659"/>
      <c r="AD6" s="659"/>
      <c r="AE6" s="659"/>
      <c r="AF6" s="659"/>
      <c r="AG6" s="659"/>
      <c r="AH6" s="659"/>
      <c r="AI6" s="659"/>
      <c r="AJ6" s="13"/>
      <c r="AK6" s="13"/>
      <c r="AL6" s="13"/>
      <c r="AM6" s="13"/>
    </row>
    <row r="7" spans="1:45" s="1" customFormat="1" ht="18.75" thickBot="1" x14ac:dyDescent="0.3">
      <c r="A7" s="702" t="s">
        <v>83</v>
      </c>
      <c r="B7" s="703"/>
      <c r="C7" s="703"/>
      <c r="D7" s="703"/>
      <c r="E7" s="703"/>
      <c r="F7" s="703"/>
      <c r="G7" s="703"/>
      <c r="H7" s="703"/>
      <c r="I7" s="703"/>
      <c r="J7" s="703"/>
      <c r="K7" s="703"/>
      <c r="L7" s="703"/>
      <c r="M7" s="703"/>
      <c r="N7" s="703"/>
      <c r="O7" s="703"/>
      <c r="P7" s="703"/>
      <c r="Q7" s="703"/>
      <c r="R7" s="703"/>
      <c r="S7" s="703"/>
      <c r="T7" s="703"/>
      <c r="U7" s="703"/>
      <c r="V7" s="703"/>
      <c r="W7" s="703"/>
      <c r="X7" s="703"/>
      <c r="Y7" s="703"/>
      <c r="Z7" s="703"/>
      <c r="AA7" s="703"/>
      <c r="AB7" s="703"/>
      <c r="AC7" s="703"/>
      <c r="AD7" s="703"/>
      <c r="AE7" s="703"/>
      <c r="AF7" s="703"/>
      <c r="AG7" s="703"/>
      <c r="AH7" s="703"/>
      <c r="AI7" s="703"/>
      <c r="AJ7" s="13"/>
      <c r="AK7" s="13"/>
      <c r="AL7" s="13"/>
      <c r="AM7" s="13"/>
    </row>
    <row r="8" spans="1:45" ht="21" customHeight="1" thickBot="1" x14ac:dyDescent="0.35">
      <c r="A8" s="704" t="s">
        <v>131</v>
      </c>
      <c r="B8" s="705"/>
      <c r="C8" s="705"/>
      <c r="D8" s="705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697" t="s">
        <v>131</v>
      </c>
      <c r="AD8" s="698"/>
      <c r="AE8" s="698"/>
      <c r="AF8" s="698"/>
      <c r="AG8" s="698"/>
      <c r="AH8" s="698"/>
      <c r="AI8" s="698"/>
      <c r="AK8" s="576">
        <v>0.23499999999999999</v>
      </c>
    </row>
    <row r="9" spans="1:45" s="2" customFormat="1" ht="20.25" customHeight="1" thickBot="1" x14ac:dyDescent="0.25">
      <c r="A9" s="687" t="s">
        <v>1</v>
      </c>
      <c r="B9" s="687" t="s">
        <v>0</v>
      </c>
      <c r="C9" s="629" t="s">
        <v>77</v>
      </c>
      <c r="D9" s="629" t="s">
        <v>119</v>
      </c>
      <c r="E9" s="629" t="s">
        <v>127</v>
      </c>
      <c r="F9" s="629" t="s">
        <v>113</v>
      </c>
      <c r="G9" s="629" t="s">
        <v>102</v>
      </c>
      <c r="H9" s="629" t="s">
        <v>79</v>
      </c>
      <c r="I9" s="629" t="s">
        <v>148</v>
      </c>
      <c r="J9" s="627" t="s">
        <v>147</v>
      </c>
      <c r="K9" s="627" t="s">
        <v>121</v>
      </c>
      <c r="L9" s="627" t="s">
        <v>146</v>
      </c>
      <c r="M9" s="627" t="s">
        <v>147</v>
      </c>
      <c r="N9" s="645" t="s">
        <v>85</v>
      </c>
      <c r="O9" s="645" t="s">
        <v>120</v>
      </c>
      <c r="P9" s="647" t="s">
        <v>86</v>
      </c>
      <c r="Q9" s="645" t="s">
        <v>101</v>
      </c>
      <c r="R9" s="645" t="s">
        <v>84</v>
      </c>
      <c r="S9" s="629" t="s">
        <v>192</v>
      </c>
      <c r="T9" s="645" t="s">
        <v>69</v>
      </c>
      <c r="U9" s="699" t="s">
        <v>59</v>
      </c>
      <c r="V9" s="700"/>
      <c r="W9" s="700"/>
      <c r="X9" s="700"/>
      <c r="Y9" s="701"/>
      <c r="Z9" s="645" t="s">
        <v>68</v>
      </c>
      <c r="AA9" s="629" t="s">
        <v>89</v>
      </c>
      <c r="AB9" s="629" t="s">
        <v>88</v>
      </c>
      <c r="AC9" s="629" t="s">
        <v>87</v>
      </c>
      <c r="AD9" s="629" t="s">
        <v>91</v>
      </c>
      <c r="AE9" s="629" t="s">
        <v>90</v>
      </c>
      <c r="AF9" s="629" t="s">
        <v>174</v>
      </c>
      <c r="AG9" s="629" t="s">
        <v>196</v>
      </c>
      <c r="AH9" s="673" t="s">
        <v>175</v>
      </c>
      <c r="AI9" s="629" t="s">
        <v>92</v>
      </c>
      <c r="AJ9" s="629" t="s">
        <v>192</v>
      </c>
      <c r="AK9" s="631" t="s">
        <v>68</v>
      </c>
      <c r="AL9" s="629" t="s">
        <v>194</v>
      </c>
      <c r="AM9" s="629" t="s">
        <v>195</v>
      </c>
      <c r="AN9" s="17"/>
      <c r="AO9" s="17"/>
    </row>
    <row r="10" spans="1:45" s="2" customFormat="1" ht="89.25" customHeight="1" thickBot="1" x14ac:dyDescent="0.25">
      <c r="A10" s="688"/>
      <c r="B10" s="688"/>
      <c r="C10" s="630"/>
      <c r="D10" s="630"/>
      <c r="E10" s="630"/>
      <c r="F10" s="630"/>
      <c r="G10" s="630"/>
      <c r="H10" s="630"/>
      <c r="I10" s="630"/>
      <c r="J10" s="628"/>
      <c r="K10" s="628"/>
      <c r="L10" s="628"/>
      <c r="M10" s="628"/>
      <c r="N10" s="646"/>
      <c r="O10" s="646"/>
      <c r="P10" s="648"/>
      <c r="Q10" s="646"/>
      <c r="R10" s="646"/>
      <c r="S10" s="630"/>
      <c r="T10" s="646"/>
      <c r="U10" s="78" t="s">
        <v>141</v>
      </c>
      <c r="V10" s="78" t="s">
        <v>61</v>
      </c>
      <c r="W10" s="78" t="s">
        <v>62</v>
      </c>
      <c r="X10" s="78" t="s">
        <v>63</v>
      </c>
      <c r="Y10" s="78" t="s">
        <v>64</v>
      </c>
      <c r="Z10" s="646"/>
      <c r="AA10" s="630"/>
      <c r="AB10" s="630"/>
      <c r="AC10" s="630"/>
      <c r="AD10" s="630"/>
      <c r="AE10" s="630"/>
      <c r="AF10" s="630"/>
      <c r="AG10" s="630"/>
      <c r="AH10" s="630"/>
      <c r="AI10" s="630"/>
      <c r="AJ10" s="630"/>
      <c r="AK10" s="632"/>
      <c r="AL10" s="630"/>
      <c r="AM10" s="630"/>
      <c r="AN10" s="17"/>
      <c r="AO10" s="17"/>
    </row>
    <row r="11" spans="1:45" s="1" customFormat="1" ht="21.75" customHeight="1" x14ac:dyDescent="0.2">
      <c r="A11" s="340">
        <v>505</v>
      </c>
      <c r="B11" s="439" t="s">
        <v>45</v>
      </c>
      <c r="C11" s="340">
        <v>0</v>
      </c>
      <c r="D11" s="340"/>
      <c r="E11" s="341"/>
      <c r="F11" s="342"/>
      <c r="G11" s="440">
        <v>3125</v>
      </c>
      <c r="H11" s="441">
        <f t="shared" ref="H11:H42" si="0">SUM(G11:G11)</f>
        <v>3125</v>
      </c>
      <c r="I11" s="442"/>
      <c r="J11" s="442"/>
      <c r="K11" s="345">
        <f>H11*'DATOS REFERENCIALES'!$C$4</f>
        <v>20081.25</v>
      </c>
      <c r="L11" s="345"/>
      <c r="M11" s="345"/>
      <c r="N11" s="347">
        <f>LOOKUP(C11,'TABLA ANTIG.'!$A$4:$A$39,'TABLA ANTIG.'!$B$4:$B$39)*(K11)</f>
        <v>0</v>
      </c>
      <c r="O11" s="347">
        <f t="shared" ref="O11:O42" si="1">K11*0.1</f>
        <v>2008.125</v>
      </c>
      <c r="P11" s="345">
        <f>'DATOS REFERENCIALES'!$D$8</f>
        <v>8550</v>
      </c>
      <c r="Q11" s="351">
        <f>LOOKUP(C11,'TABLA ANTIG.'!$A$4:$A$39,'TABLA ANTIG.'!$B$4:$B$39)*(P11)</f>
        <v>0</v>
      </c>
      <c r="R11" s="347">
        <f t="shared" ref="R11:R42" si="2">(K11+P11)*0.15</f>
        <v>4294.6875</v>
      </c>
      <c r="S11" s="347">
        <f>'DATOS REFERENCIALES'!$D$14</f>
        <v>0</v>
      </c>
      <c r="T11" s="347">
        <f>K11+N11+O11+P11+Q11+R11+S11</f>
        <v>34934.0625</v>
      </c>
      <c r="U11" s="347">
        <f t="shared" ref="U11:U42" si="3">$T11*11%</f>
        <v>3842.7468749999998</v>
      </c>
      <c r="V11" s="347">
        <f t="shared" ref="V11:W42" si="4">$T11*3%</f>
        <v>1048.0218749999999</v>
      </c>
      <c r="W11" s="347">
        <f t="shared" si="4"/>
        <v>1048.0218749999999</v>
      </c>
      <c r="X11" s="347">
        <f t="shared" ref="X11:X42" si="5">$T11*2%</f>
        <v>698.68124999999998</v>
      </c>
      <c r="Y11" s="347">
        <f t="shared" ref="Y11:Y42" si="6">$T11*4.5%</f>
        <v>1572.0328124999999</v>
      </c>
      <c r="Z11" s="347">
        <f t="shared" ref="Z11:Z42" si="7">SUM(U11:Y11)</f>
        <v>8209.5046874999989</v>
      </c>
      <c r="AA11" s="350">
        <f t="shared" ref="AA11:AA42" si="8">T11-Z11</f>
        <v>26724.557812500003</v>
      </c>
      <c r="AB11" s="372">
        <f>'DATOS REFERENCIALES'!$D$10</f>
        <v>3040</v>
      </c>
      <c r="AC11" s="427">
        <f>IF((IF(H11&gt;2042,('DATOS REFERENCIALES'!$D$9-(T11-U11-V11-W11-X11-Y11+AB11)+(S11-S11*0.235)),(('DATOS REFERENCIALES'!$D$9/2043)*H11)-(K11+N11+O11+P11+Q11+R11-U11-V11-W11-X11-Y11+AB11)))&lt;0,0,IF(H11&gt;2042,(('DATOS REFERENCIALES'!$D$9)-(T11-U11-V11-W11-X11-Y11+AB11)+(S11-S11*0.235)),(('DATOS REFERENCIALES'!$D$9/2043)*H11)-(K11+N11+O11+P11+Q11+R11-U11-V11-W11-X11-Y11+AB11)))</f>
        <v>4535.4421875000007</v>
      </c>
      <c r="AD11" s="347">
        <f t="shared" ref="AD11:AD42" si="9">SUM(AA11:AC11)</f>
        <v>34300</v>
      </c>
      <c r="AE11" s="352">
        <f>'DATOS REFERENCIALES'!$D$13</f>
        <v>2420</v>
      </c>
      <c r="AF11" s="374"/>
      <c r="AG11" s="351">
        <f>IF($H11&gt;2043,'DATOS REFERENCIALES'!D17,'DATOS REFERENCIALES'!D17/2043*$H11)</f>
        <v>3000</v>
      </c>
      <c r="AH11" s="347">
        <f>'DATOS REFERENCIALES'!$D$12</f>
        <v>420</v>
      </c>
      <c r="AI11" s="633">
        <f>SUM(AD11:AH11)+SUM(AD12:AH12)</f>
        <v>42732.3945915</v>
      </c>
      <c r="AJ11" s="613">
        <f>'DATOS REFERENCIALES'!D16</f>
        <v>1544</v>
      </c>
      <c r="AK11" s="613">
        <f>AJ11*$AK$8</f>
        <v>362.84</v>
      </c>
      <c r="AL11" s="613">
        <f>AJ11-AK11</f>
        <v>1181.1600000000001</v>
      </c>
      <c r="AM11" s="613">
        <f>AI11+AL11</f>
        <v>43913.554591500004</v>
      </c>
      <c r="AN11" s="17"/>
      <c r="AO11" s="17"/>
      <c r="AS11" s="8"/>
    </row>
    <row r="12" spans="1:45" s="1" customFormat="1" ht="22.5" customHeight="1" thickBot="1" x14ac:dyDescent="0.25">
      <c r="A12" s="355">
        <v>505</v>
      </c>
      <c r="B12" s="443" t="s">
        <v>45</v>
      </c>
      <c r="C12" s="355">
        <f>IF(C11&gt;0,C11,0)</f>
        <v>0</v>
      </c>
      <c r="D12" s="444"/>
      <c r="E12" s="445"/>
      <c r="F12" s="446"/>
      <c r="G12" s="447"/>
      <c r="H12" s="448"/>
      <c r="I12" s="444">
        <v>234.38</v>
      </c>
      <c r="J12" s="359" t="s">
        <v>171</v>
      </c>
      <c r="K12" s="449"/>
      <c r="L12" s="449">
        <f>I12*'DATOS REFERENCIALES'!$C$4</f>
        <v>1506.1258800000001</v>
      </c>
      <c r="M12" s="449">
        <f>IF(J12='DATOS REFERENCIALES'!$C$38,K11*'DATOS REFERENCIALES'!$D$38,IF(J12='DATOS REFERENCIALES'!$C$39,('DATOS REFERENCIALES'!$D$39*K11),IF(J12='DATOS REFERENCIALES'!$C$40,('DATOS REFERENCIALES'!$D$40*K11),0)))</f>
        <v>1204.875</v>
      </c>
      <c r="N12" s="450">
        <f>LOOKUP(C12,'TABLA ANTIG.'!$A$4:$A$39,'TABLA ANTIG.'!$B$4:$B$39)*(L12+M12)</f>
        <v>0</v>
      </c>
      <c r="O12" s="450">
        <f>(L12+M12)*0.1</f>
        <v>271.10008800000003</v>
      </c>
      <c r="P12" s="449"/>
      <c r="Q12" s="450"/>
      <c r="R12" s="450">
        <f>(L12+M12)*0.15</f>
        <v>406.65013199999999</v>
      </c>
      <c r="S12" s="362"/>
      <c r="T12" s="450">
        <f>L12+M12+N12+O12+P12+Q12+R12</f>
        <v>3388.7511000000004</v>
      </c>
      <c r="U12" s="451">
        <f t="shared" si="3"/>
        <v>372.76262100000002</v>
      </c>
      <c r="V12" s="450">
        <f t="shared" si="4"/>
        <v>101.66253300000001</v>
      </c>
      <c r="W12" s="451">
        <f t="shared" si="4"/>
        <v>101.66253300000001</v>
      </c>
      <c r="X12" s="450">
        <f>$T12*2%</f>
        <v>67.775022000000007</v>
      </c>
      <c r="Y12" s="450">
        <f t="shared" si="6"/>
        <v>152.49379950000002</v>
      </c>
      <c r="Z12" s="450">
        <f t="shared" si="7"/>
        <v>796.35650850000013</v>
      </c>
      <c r="AA12" s="452">
        <f t="shared" si="8"/>
        <v>2592.3945915000004</v>
      </c>
      <c r="AB12" s="450"/>
      <c r="AC12" s="450"/>
      <c r="AD12" s="453">
        <f t="shared" si="9"/>
        <v>2592.3945915000004</v>
      </c>
      <c r="AE12" s="535"/>
      <c r="AF12" s="454"/>
      <c r="AG12" s="453"/>
      <c r="AH12" s="450"/>
      <c r="AI12" s="634"/>
      <c r="AJ12" s="695"/>
      <c r="AK12" s="614"/>
      <c r="AL12" s="614"/>
      <c r="AM12" s="614"/>
      <c r="AN12" s="17"/>
      <c r="AO12" s="17"/>
      <c r="AS12" s="8"/>
    </row>
    <row r="13" spans="1:45" s="1" customFormat="1" ht="25.5" customHeight="1" x14ac:dyDescent="0.2">
      <c r="A13" s="279">
        <v>551</v>
      </c>
      <c r="B13" s="464" t="s">
        <v>46</v>
      </c>
      <c r="C13" s="279">
        <v>0</v>
      </c>
      <c r="D13" s="279"/>
      <c r="E13" s="328"/>
      <c r="F13" s="329"/>
      <c r="G13" s="465">
        <v>2667</v>
      </c>
      <c r="H13" s="466">
        <f t="shared" si="0"/>
        <v>2667</v>
      </c>
      <c r="I13" s="467"/>
      <c r="J13" s="467"/>
      <c r="K13" s="281">
        <f>H13*'DATOS REFERENCIALES'!$C$4</f>
        <v>17138.142</v>
      </c>
      <c r="L13" s="281"/>
      <c r="M13" s="281"/>
      <c r="N13" s="283">
        <f>LOOKUP(C13,'TABLA ANTIG.'!$A$4:$A$39,'TABLA ANTIG.'!$B$4:$B$39)*(K13)</f>
        <v>0</v>
      </c>
      <c r="O13" s="283">
        <f t="shared" si="1"/>
        <v>1713.8142</v>
      </c>
      <c r="P13" s="281">
        <f>'DATOS REFERENCIALES'!$D$8</f>
        <v>8550</v>
      </c>
      <c r="Q13" s="285">
        <f>LOOKUP(C13,'TABLA ANTIG.'!$A$4:$A$39,'TABLA ANTIG.'!$B$4:$B$39)*(P13)</f>
        <v>0</v>
      </c>
      <c r="R13" s="283">
        <f t="shared" si="2"/>
        <v>3853.2212999999997</v>
      </c>
      <c r="S13" s="283">
        <f>'DATOS REFERENCIALES'!$D$14</f>
        <v>0</v>
      </c>
      <c r="T13" s="283">
        <f>K13+N13+O13+P13+Q13+R13+S13</f>
        <v>31255.177500000002</v>
      </c>
      <c r="U13" s="283">
        <f t="shared" si="3"/>
        <v>3438.0695250000003</v>
      </c>
      <c r="V13" s="283">
        <f t="shared" si="4"/>
        <v>937.65532500000006</v>
      </c>
      <c r="W13" s="283">
        <f t="shared" si="4"/>
        <v>937.65532500000006</v>
      </c>
      <c r="X13" s="283">
        <f t="shared" si="5"/>
        <v>625.10355000000004</v>
      </c>
      <c r="Y13" s="283">
        <f t="shared" si="6"/>
        <v>1406.4829875</v>
      </c>
      <c r="Z13" s="283">
        <f t="shared" si="7"/>
        <v>7344.9667124999996</v>
      </c>
      <c r="AA13" s="286">
        <f t="shared" si="8"/>
        <v>23910.2107875</v>
      </c>
      <c r="AB13" s="402">
        <f>'DATOS REFERENCIALES'!$D$10</f>
        <v>3040</v>
      </c>
      <c r="AC13" s="420">
        <f>IF((IF(H13&gt;2042,('DATOS REFERENCIALES'!$D$9-(T13-U13-V13-W13-X13-Y13+AB13)+(S13-S13*0.235)),(('DATOS REFERENCIALES'!$D$9/2043)*H13)-(K13+N13+O13+P13+Q13+R13-U13-V13-W13-X13-Y13+AB13)))&lt;0,0,IF(H13&gt;2042,(('DATOS REFERENCIALES'!$D$9)-(T13-U13-V13-W13-X13-Y13+AB13)+(S13-S13*0.235)),(('DATOS REFERENCIALES'!$D$9/2043)*H13)-(K13+N13+O13+P13+Q13+R13-U13-V13-W13-X13-Y13+AB13)))</f>
        <v>7349.7892124999962</v>
      </c>
      <c r="AD13" s="283">
        <f t="shared" si="9"/>
        <v>34300</v>
      </c>
      <c r="AE13" s="288">
        <f>'DATOS REFERENCIALES'!$D$13</f>
        <v>2420</v>
      </c>
      <c r="AF13" s="404"/>
      <c r="AG13" s="285">
        <f>IF($H13&gt;2043,'DATOS REFERENCIALES'!D17,'DATOS REFERENCIALES'!D17/2043*$H13)</f>
        <v>3000</v>
      </c>
      <c r="AH13" s="283">
        <f>'DATOS REFERENCIALES'!$D$12</f>
        <v>420</v>
      </c>
      <c r="AI13" s="639">
        <f>SUM(AD13:AH13)+SUM(AD14:AH14)</f>
        <v>41369.156845874997</v>
      </c>
      <c r="AJ13" s="637">
        <f>'DATOS REFERENCIALES'!D16</f>
        <v>1544</v>
      </c>
      <c r="AK13" s="637">
        <f>AJ13*$AK$8</f>
        <v>362.84</v>
      </c>
      <c r="AL13" s="637">
        <f>AJ13-AK13</f>
        <v>1181.1600000000001</v>
      </c>
      <c r="AM13" s="637">
        <f>AI13+AL13</f>
        <v>42550.316845875001</v>
      </c>
      <c r="AN13" s="17"/>
      <c r="AO13" s="17"/>
      <c r="AS13" s="8"/>
    </row>
    <row r="14" spans="1:45" s="1" customFormat="1" ht="21.75" customHeight="1" thickBot="1" x14ac:dyDescent="0.25">
      <c r="A14" s="331">
        <v>551</v>
      </c>
      <c r="B14" s="468" t="s">
        <v>46</v>
      </c>
      <c r="C14" s="291">
        <f>IF(C13&gt;0,C13,0)</f>
        <v>0</v>
      </c>
      <c r="D14" s="331"/>
      <c r="E14" s="332"/>
      <c r="F14" s="333"/>
      <c r="G14" s="469"/>
      <c r="H14" s="470"/>
      <c r="I14" s="331">
        <v>200.03</v>
      </c>
      <c r="J14" s="471"/>
      <c r="K14" s="335"/>
      <c r="L14" s="335">
        <f>I14*'DATOS REFERENCIALES'!$C$4</f>
        <v>1285.3927800000001</v>
      </c>
      <c r="M14" s="335"/>
      <c r="N14" s="302">
        <f>LOOKUP(C14,'TABLA ANTIG.'!$A$4:$A$39,'TABLA ANTIG.'!$B$4:$B$39)*(L14+M14)</f>
        <v>0</v>
      </c>
      <c r="O14" s="302">
        <f>(L14+M14)*0.1</f>
        <v>128.53927800000002</v>
      </c>
      <c r="P14" s="335"/>
      <c r="Q14" s="302"/>
      <c r="R14" s="297">
        <f>(L14+M14)*0.15</f>
        <v>192.80891700000001</v>
      </c>
      <c r="S14" s="336"/>
      <c r="T14" s="302">
        <f>L14+M14+N14+O14+P14+Q14+R14</f>
        <v>1606.7409750000002</v>
      </c>
      <c r="U14" s="336">
        <f t="shared" si="3"/>
        <v>176.74150725000001</v>
      </c>
      <c r="V14" s="302">
        <f t="shared" si="4"/>
        <v>48.202229250000002</v>
      </c>
      <c r="W14" s="336">
        <f t="shared" si="4"/>
        <v>48.202229250000002</v>
      </c>
      <c r="X14" s="302">
        <f>$T14*2%</f>
        <v>32.134819500000006</v>
      </c>
      <c r="Y14" s="302">
        <f t="shared" si="6"/>
        <v>72.30334387500001</v>
      </c>
      <c r="Z14" s="302">
        <f t="shared" si="7"/>
        <v>377.584129125</v>
      </c>
      <c r="AA14" s="337">
        <f t="shared" si="8"/>
        <v>1229.1568458750003</v>
      </c>
      <c r="AB14" s="302"/>
      <c r="AC14" s="302"/>
      <c r="AD14" s="300">
        <f t="shared" si="9"/>
        <v>1229.1568458750003</v>
      </c>
      <c r="AE14" s="531"/>
      <c r="AF14" s="410"/>
      <c r="AG14" s="300"/>
      <c r="AH14" s="302"/>
      <c r="AI14" s="640"/>
      <c r="AJ14" s="696"/>
      <c r="AK14" s="638"/>
      <c r="AL14" s="638"/>
      <c r="AM14" s="638"/>
      <c r="AN14" s="17"/>
      <c r="AO14" s="17"/>
      <c r="AS14" s="8"/>
    </row>
    <row r="15" spans="1:45" s="7" customFormat="1" ht="21.75" customHeight="1" x14ac:dyDescent="0.2">
      <c r="A15" s="472">
        <v>849</v>
      </c>
      <c r="B15" s="473" t="s">
        <v>78</v>
      </c>
      <c r="C15" s="305">
        <v>0</v>
      </c>
      <c r="D15" s="305"/>
      <c r="E15" s="382"/>
      <c r="F15" s="383"/>
      <c r="G15" s="456">
        <v>2359</v>
      </c>
      <c r="H15" s="457">
        <f t="shared" si="0"/>
        <v>2359</v>
      </c>
      <c r="I15" s="458"/>
      <c r="J15" s="458"/>
      <c r="K15" s="307">
        <f>H15*'DATOS REFERENCIALES'!$C$4</f>
        <v>15158.934000000001</v>
      </c>
      <c r="L15" s="307"/>
      <c r="M15" s="307"/>
      <c r="N15" s="309">
        <f>LOOKUP(C15,'TABLA ANTIG.'!$A$4:$A$39,'TABLA ANTIG.'!$B$4:$B$39)*(K15)</f>
        <v>0</v>
      </c>
      <c r="O15" s="309">
        <f t="shared" si="1"/>
        <v>1515.8934000000002</v>
      </c>
      <c r="P15" s="307">
        <f>'DATOS REFERENCIALES'!$D$8</f>
        <v>8550</v>
      </c>
      <c r="Q15" s="313">
        <f>LOOKUP(C15,'TABLA ANTIG.'!$A$4:$A$39,'TABLA ANTIG.'!$B$4:$B$39)*(P15)</f>
        <v>0</v>
      </c>
      <c r="R15" s="309">
        <f t="shared" si="2"/>
        <v>3556.3400999999999</v>
      </c>
      <c r="S15" s="309">
        <f>'DATOS REFERENCIALES'!$D$14</f>
        <v>0</v>
      </c>
      <c r="T15" s="309">
        <f>K15+N15+O15+P15+Q15+R15+S15</f>
        <v>28781.167500000003</v>
      </c>
      <c r="U15" s="309">
        <f t="shared" si="3"/>
        <v>3165.9284250000005</v>
      </c>
      <c r="V15" s="309">
        <f t="shared" si="4"/>
        <v>863.43502500000011</v>
      </c>
      <c r="W15" s="309">
        <f t="shared" si="4"/>
        <v>863.43502500000011</v>
      </c>
      <c r="X15" s="309">
        <f t="shared" si="5"/>
        <v>575.62335000000007</v>
      </c>
      <c r="Y15" s="309">
        <f t="shared" si="6"/>
        <v>1295.1525375000001</v>
      </c>
      <c r="Z15" s="309">
        <f t="shared" si="7"/>
        <v>6763.5743625000005</v>
      </c>
      <c r="AA15" s="311">
        <f t="shared" si="8"/>
        <v>22017.593137500004</v>
      </c>
      <c r="AB15" s="385">
        <f>'DATOS REFERENCIALES'!$D$10</f>
        <v>3040</v>
      </c>
      <c r="AC15" s="416">
        <f>IF((IF(H15&gt;2042,('DATOS REFERENCIALES'!$D$9-(T15-U15-V15-W15-X15-Y15+AB15)+(S15-S15*0.235)),(('DATOS REFERENCIALES'!$D$9/2043)*H15)-(K15+N15+O15+P15+Q15+R15-U15-V15-W15-X15-Y15+AB15)))&lt;0,0,IF(H15&gt;2042,(('DATOS REFERENCIALES'!$D$9)-(T15-U15-V15-W15-X15-Y15+AB15)+(S15-S15*0.235)),(('DATOS REFERENCIALES'!$D$9/2043)*H15)-(K15+N15+O15+P15+Q15+R15-U15-V15-W15-X15-Y15+AB15)))</f>
        <v>9242.4068625</v>
      </c>
      <c r="AD15" s="309">
        <f t="shared" si="9"/>
        <v>34300</v>
      </c>
      <c r="AE15" s="314">
        <f>'DATOS REFERENCIALES'!$D$13</f>
        <v>2420</v>
      </c>
      <c r="AF15" s="387"/>
      <c r="AG15" s="313">
        <f>IF($H15&gt;2043,'DATOS REFERENCIALES'!D17,'DATOS REFERENCIALES'!D17/2043*$H15)</f>
        <v>3000</v>
      </c>
      <c r="AH15" s="309">
        <f>'DATOS REFERENCIALES'!$D$12</f>
        <v>420</v>
      </c>
      <c r="AI15" s="623">
        <f>SUM(AD15:AH15)+SUM(AD16:AH16)</f>
        <v>41227.210522125002</v>
      </c>
      <c r="AJ15" s="621">
        <f>'DATOS REFERENCIALES'!D16</f>
        <v>1544</v>
      </c>
      <c r="AK15" s="621">
        <f>AJ15*$AK$8</f>
        <v>362.84</v>
      </c>
      <c r="AL15" s="621">
        <f>AJ15-AK15</f>
        <v>1181.1600000000001</v>
      </c>
      <c r="AM15" s="621">
        <f>AI15+AL15</f>
        <v>42408.370522125006</v>
      </c>
      <c r="AN15" s="17"/>
      <c r="AO15" s="17"/>
      <c r="AS15" s="8"/>
    </row>
    <row r="16" spans="1:45" s="7" customFormat="1" ht="21.75" customHeight="1" thickBot="1" x14ac:dyDescent="0.25">
      <c r="A16" s="474">
        <v>849</v>
      </c>
      <c r="B16" s="475" t="s">
        <v>78</v>
      </c>
      <c r="C16" s="317">
        <f>IF(C15&gt;0,C15,0)</f>
        <v>0</v>
      </c>
      <c r="D16" s="317"/>
      <c r="E16" s="389"/>
      <c r="F16" s="390"/>
      <c r="G16" s="460"/>
      <c r="H16" s="461"/>
      <c r="I16" s="317">
        <v>176.93</v>
      </c>
      <c r="J16" s="462"/>
      <c r="K16" s="319"/>
      <c r="L16" s="319">
        <f>I16*'DATOS REFERENCIALES'!$C$4</f>
        <v>1136.95218</v>
      </c>
      <c r="M16" s="319"/>
      <c r="N16" s="323">
        <f>LOOKUP(C16,'TABLA ANTIG.'!$A$4:$A$39,'TABLA ANTIG.'!$B$4:$B$39)*(L16+M16)</f>
        <v>0</v>
      </c>
      <c r="O16" s="323">
        <f>(L16+M16)*0.1</f>
        <v>113.69521800000001</v>
      </c>
      <c r="P16" s="319"/>
      <c r="Q16" s="323"/>
      <c r="R16" s="463">
        <f>(L16+M16)*0.15</f>
        <v>170.54282699999999</v>
      </c>
      <c r="S16" s="562"/>
      <c r="T16" s="323">
        <f>L16+M16+N16+O16+P16+Q16+R16</f>
        <v>1421.1902250000001</v>
      </c>
      <c r="U16" s="324">
        <f t="shared" si="3"/>
        <v>156.33092475000001</v>
      </c>
      <c r="V16" s="323">
        <f t="shared" si="4"/>
        <v>42.635706749999997</v>
      </c>
      <c r="W16" s="324">
        <f t="shared" si="4"/>
        <v>42.635706749999997</v>
      </c>
      <c r="X16" s="323">
        <f>$T16*2%</f>
        <v>28.423804500000003</v>
      </c>
      <c r="Y16" s="323">
        <f t="shared" si="6"/>
        <v>63.953560125000003</v>
      </c>
      <c r="Z16" s="323">
        <f t="shared" si="7"/>
        <v>333.97970287500004</v>
      </c>
      <c r="AA16" s="326">
        <f t="shared" si="8"/>
        <v>1087.2105221249999</v>
      </c>
      <c r="AB16" s="323"/>
      <c r="AC16" s="323"/>
      <c r="AD16" s="325">
        <f t="shared" si="9"/>
        <v>1087.2105221249999</v>
      </c>
      <c r="AE16" s="327"/>
      <c r="AF16" s="394"/>
      <c r="AG16" s="325"/>
      <c r="AH16" s="323"/>
      <c r="AI16" s="663"/>
      <c r="AJ16" s="694"/>
      <c r="AK16" s="644"/>
      <c r="AL16" s="644"/>
      <c r="AM16" s="644"/>
      <c r="AN16" s="17"/>
      <c r="AO16" s="17"/>
      <c r="AS16" s="8"/>
    </row>
    <row r="17" spans="1:253" s="1" customFormat="1" ht="21.75" customHeight="1" x14ac:dyDescent="0.2">
      <c r="A17" s="340">
        <v>516</v>
      </c>
      <c r="B17" s="439" t="s">
        <v>47</v>
      </c>
      <c r="C17" s="340">
        <v>0</v>
      </c>
      <c r="D17" s="340"/>
      <c r="E17" s="341"/>
      <c r="F17" s="342"/>
      <c r="G17" s="440">
        <v>1783</v>
      </c>
      <c r="H17" s="441">
        <f t="shared" si="0"/>
        <v>1783</v>
      </c>
      <c r="I17" s="442"/>
      <c r="J17" s="442"/>
      <c r="K17" s="345">
        <f>H17*'DATOS REFERENCIALES'!$C$4</f>
        <v>11457.558000000001</v>
      </c>
      <c r="L17" s="345"/>
      <c r="M17" s="345"/>
      <c r="N17" s="347">
        <f>LOOKUP(C17,'TABLA ANTIG.'!$A$4:$A$39,'TABLA ANTIG.'!$B$4:$B$39)*(K17)</f>
        <v>0</v>
      </c>
      <c r="O17" s="347">
        <f t="shared" si="1"/>
        <v>1145.7558000000001</v>
      </c>
      <c r="P17" s="345">
        <f>'DATOS REFERENCIALES'!$C$8</f>
        <v>4275</v>
      </c>
      <c r="Q17" s="351">
        <f>LOOKUP(C17,'TABLA ANTIG.'!$A$4:$A$39,'TABLA ANTIG.'!$B$4:$B$39)*(P17)</f>
        <v>0</v>
      </c>
      <c r="R17" s="347">
        <f t="shared" si="2"/>
        <v>2359.8836999999999</v>
      </c>
      <c r="S17" s="347">
        <f>'DATOS REFERENCIALES'!$C$14</f>
        <v>0</v>
      </c>
      <c r="T17" s="347">
        <f>K17+N17+O17+P17+Q17+R17+S17</f>
        <v>19238.197500000002</v>
      </c>
      <c r="U17" s="347">
        <f t="shared" si="3"/>
        <v>2116.2017250000004</v>
      </c>
      <c r="V17" s="347">
        <f t="shared" si="4"/>
        <v>577.14592500000003</v>
      </c>
      <c r="W17" s="347">
        <f t="shared" si="4"/>
        <v>577.14592500000003</v>
      </c>
      <c r="X17" s="347">
        <f t="shared" si="5"/>
        <v>384.76395000000002</v>
      </c>
      <c r="Y17" s="347">
        <f t="shared" si="6"/>
        <v>865.71888750000005</v>
      </c>
      <c r="Z17" s="347">
        <f t="shared" si="7"/>
        <v>4520.9764125000002</v>
      </c>
      <c r="AA17" s="350">
        <f t="shared" si="8"/>
        <v>14717.221087500002</v>
      </c>
      <c r="AB17" s="347">
        <f>'DATOS REFERENCIALES'!$C$10</f>
        <v>1520</v>
      </c>
      <c r="AC17" s="427">
        <f>IF((IF(H17&gt;1119,('DATOS REFERENCIALES'!$C$9-(T17-U17-V17-W17-X17-Y17+AB17-L17-L17*0.235-(S17-S17*0.235))),(('DATOS REFERENCIALES'!$C$9/1120)*H17)-(K17+N17+O17+P17+Q17+R17-U17-V17-W17-X17-Y17+AB17-(L17-L17*0.235)-(S17*0.235))))&lt;0,0,IF(H17&gt;1119,(('DATOS REFERENCIALES'!$C$9)-(T17-U17-V17-W17-X17-Y17+AB17-(L17-L17*0.235)-(S17-S17*0.235))),(('DATOS REFERENCIALES'!$C$9/1120)*H17)-(K17+N17+O17+P17+Q17+R17-U17-V17-W17-X17-Y17+AB17-(L17-L17*0.235)-(S17*0.235))))</f>
        <v>912.77891249999811</v>
      </c>
      <c r="AD17" s="347">
        <f t="shared" si="9"/>
        <v>17150</v>
      </c>
      <c r="AE17" s="352">
        <f>'DATOS REFERENCIALES'!$C$13</f>
        <v>1210</v>
      </c>
      <c r="AF17" s="374"/>
      <c r="AG17" s="351">
        <f>IF($H17&gt;1120,'DATOS REFERENCIALES'!C17,'DATOS REFERENCIALES'!C17/1120*$H17)</f>
        <v>1500</v>
      </c>
      <c r="AH17" s="347">
        <f>'DATOS REFERENCIALES'!$C$12</f>
        <v>210</v>
      </c>
      <c r="AI17" s="633">
        <f>SUM(AD17:AH17)+SUM(AD18:AH18)</f>
        <v>21549.129852375001</v>
      </c>
      <c r="AJ17" s="613">
        <f>'DATOS REFERENCIALES'!C16</f>
        <v>772</v>
      </c>
      <c r="AK17" s="613">
        <f>AJ17*$AK$8</f>
        <v>181.42</v>
      </c>
      <c r="AL17" s="613">
        <f>AJ17-AK17</f>
        <v>590.58000000000004</v>
      </c>
      <c r="AM17" s="613">
        <f>AI17+AL17</f>
        <v>22139.709852375003</v>
      </c>
      <c r="AN17" s="17"/>
      <c r="AO17" s="17"/>
      <c r="AS17" s="8"/>
    </row>
    <row r="18" spans="1:253" s="1" customFormat="1" ht="33" customHeight="1" thickBot="1" x14ac:dyDescent="0.25">
      <c r="A18" s="355">
        <v>516</v>
      </c>
      <c r="B18" s="443" t="s">
        <v>47</v>
      </c>
      <c r="C18" s="355">
        <f>IF(C17&gt;0,C17,0)</f>
        <v>0</v>
      </c>
      <c r="D18" s="355"/>
      <c r="E18" s="356"/>
      <c r="F18" s="357"/>
      <c r="G18" s="476"/>
      <c r="H18" s="477"/>
      <c r="I18" s="355">
        <v>133.72999999999999</v>
      </c>
      <c r="J18" s="359" t="s">
        <v>171</v>
      </c>
      <c r="K18" s="360"/>
      <c r="L18" s="360">
        <f>I18*'DATOS REFERENCIALES'!$C$4</f>
        <v>859.34897999999998</v>
      </c>
      <c r="M18" s="449">
        <f>IF(J18='DATOS REFERENCIALES'!$C$38,K17*'DATOS REFERENCIALES'!$D$38,IF(J18='DATOS REFERENCIALES'!$C$39,('DATOS REFERENCIALES'!$D$39*K17),IF(J18='DATOS REFERENCIALES'!$C$40,('DATOS REFERENCIALES'!$D$40*K17),0)))</f>
        <v>687.45348000000001</v>
      </c>
      <c r="N18" s="362">
        <f>LOOKUP(C18,'TABLA ANTIG.'!$A$4:$A$39,'TABLA ANTIG.'!$B$4:$B$39)*(L18+M18)</f>
        <v>0</v>
      </c>
      <c r="O18" s="362">
        <f>(L18+M18)*0.1</f>
        <v>154.68024600000001</v>
      </c>
      <c r="P18" s="360"/>
      <c r="Q18" s="362"/>
      <c r="R18" s="450">
        <f>(L18+M18)*0.15</f>
        <v>232.02036899999996</v>
      </c>
      <c r="S18" s="362"/>
      <c r="T18" s="362">
        <f>L18+M18+N18+O18+P18+Q18+R18</f>
        <v>1933.5030749999996</v>
      </c>
      <c r="U18" s="365">
        <f t="shared" si="3"/>
        <v>212.68533824999997</v>
      </c>
      <c r="V18" s="362">
        <f t="shared" si="4"/>
        <v>58.00509224999999</v>
      </c>
      <c r="W18" s="365">
        <f t="shared" si="4"/>
        <v>58.00509224999999</v>
      </c>
      <c r="X18" s="362">
        <f>$T18*2%</f>
        <v>38.670061499999996</v>
      </c>
      <c r="Y18" s="362">
        <f t="shared" si="6"/>
        <v>87.007638374999985</v>
      </c>
      <c r="Z18" s="362">
        <f t="shared" si="7"/>
        <v>454.37322262499987</v>
      </c>
      <c r="AA18" s="366">
        <f t="shared" si="8"/>
        <v>1479.1298523749997</v>
      </c>
      <c r="AB18" s="362"/>
      <c r="AC18" s="362"/>
      <c r="AD18" s="361">
        <f t="shared" si="9"/>
        <v>1479.1298523749997</v>
      </c>
      <c r="AE18" s="367"/>
      <c r="AF18" s="380"/>
      <c r="AG18" s="361"/>
      <c r="AH18" s="362"/>
      <c r="AI18" s="634"/>
      <c r="AJ18" s="695"/>
      <c r="AK18" s="614"/>
      <c r="AL18" s="614"/>
      <c r="AM18" s="614"/>
      <c r="AN18" s="17"/>
      <c r="AO18" s="17"/>
      <c r="AS18" s="8"/>
    </row>
    <row r="19" spans="1:253" s="1" customFormat="1" ht="21.75" customHeight="1" x14ac:dyDescent="0.2">
      <c r="A19" s="279">
        <v>576</v>
      </c>
      <c r="B19" s="464" t="s">
        <v>48</v>
      </c>
      <c r="C19" s="279">
        <v>0</v>
      </c>
      <c r="D19" s="279"/>
      <c r="E19" s="328"/>
      <c r="F19" s="329"/>
      <c r="G19" s="465">
        <v>1545</v>
      </c>
      <c r="H19" s="466">
        <f t="shared" si="0"/>
        <v>1545</v>
      </c>
      <c r="I19" s="467"/>
      <c r="J19" s="467"/>
      <c r="K19" s="281">
        <f>H19*'DATOS REFERENCIALES'!$C$4</f>
        <v>9928.17</v>
      </c>
      <c r="L19" s="281"/>
      <c r="M19" s="281"/>
      <c r="N19" s="283">
        <f>LOOKUP(C19,'TABLA ANTIG.'!$A$4:$A$39,'TABLA ANTIG.'!$B$4:$B$39)*(K19)</f>
        <v>0</v>
      </c>
      <c r="O19" s="283">
        <f t="shared" si="1"/>
        <v>992.81700000000001</v>
      </c>
      <c r="P19" s="281">
        <f>'DATOS REFERENCIALES'!$C$8</f>
        <v>4275</v>
      </c>
      <c r="Q19" s="285">
        <f>LOOKUP(C19,'TABLA ANTIG.'!$A$4:$A$39,'TABLA ANTIG.'!$B$4:$B$39)*(P19)</f>
        <v>0</v>
      </c>
      <c r="R19" s="283">
        <f t="shared" si="2"/>
        <v>2130.4755</v>
      </c>
      <c r="S19" s="283">
        <f>'DATOS REFERENCIALES'!$C$14</f>
        <v>0</v>
      </c>
      <c r="T19" s="283">
        <f>K19+N19+O19+P19+Q19+R19+S19</f>
        <v>17326.462500000001</v>
      </c>
      <c r="U19" s="283">
        <f t="shared" si="3"/>
        <v>1905.9108750000003</v>
      </c>
      <c r="V19" s="283">
        <f t="shared" si="4"/>
        <v>519.79387500000007</v>
      </c>
      <c r="W19" s="283">
        <f t="shared" si="4"/>
        <v>519.79387500000007</v>
      </c>
      <c r="X19" s="283">
        <f t="shared" si="5"/>
        <v>346.52925000000005</v>
      </c>
      <c r="Y19" s="283">
        <f t="shared" si="6"/>
        <v>779.69081249999999</v>
      </c>
      <c r="Z19" s="283">
        <f t="shared" si="7"/>
        <v>4071.7186875000002</v>
      </c>
      <c r="AA19" s="286">
        <f t="shared" si="8"/>
        <v>13254.743812500001</v>
      </c>
      <c r="AB19" s="283">
        <f>'DATOS REFERENCIALES'!$C$10</f>
        <v>1520</v>
      </c>
      <c r="AC19" s="420">
        <f>IF((IF(H19&gt;1119,('DATOS REFERENCIALES'!$C$9-(T19-U19-V19-W19-X19-Y19+AB19-L19-L19*0.235-(S19-S19*0.235))),(('DATOS REFERENCIALES'!$C$9/1120)*H19)-(K19+N19+O19+P19+Q19+R19-U19-V19-W19-X19-Y19+AB19-(L19-L19*0.235)-(S19*0.235))))&lt;0,0,IF(H19&gt;1119,(('DATOS REFERENCIALES'!$C$9)-(T19-U19-V19-W19-X19-Y19+AB19-(L19-L19*0.235)-(S19-S19*0.235))),(('DATOS REFERENCIALES'!$C$9/1120)*H19)-(K19+N19+O19+P19+Q19+R19-U19-V19-W19-X19-Y19+AB19-(L19-L19*0.235)-(S19*0.235))))</f>
        <v>2375.2561874999956</v>
      </c>
      <c r="AD19" s="283">
        <f t="shared" si="9"/>
        <v>17149.999999999996</v>
      </c>
      <c r="AE19" s="288">
        <f>'DATOS REFERENCIALES'!$C$13</f>
        <v>1210</v>
      </c>
      <c r="AF19" s="404"/>
      <c r="AG19" s="285">
        <f>IF($H19&gt;1120,'DATOS REFERENCIALES'!C17,'DATOS REFERENCIALES'!C17/1120*$H19)</f>
        <v>1500</v>
      </c>
      <c r="AH19" s="283">
        <f>'DATOS REFERENCIALES'!$C$12</f>
        <v>210</v>
      </c>
      <c r="AI19" s="639">
        <f>SUM(AD19:AH19)+SUM(AD20:AH20)</f>
        <v>20782.066666499995</v>
      </c>
      <c r="AJ19" s="637">
        <f>'DATOS REFERENCIALES'!C16</f>
        <v>772</v>
      </c>
      <c r="AK19" s="637">
        <f>AJ19*$AK$8</f>
        <v>181.42</v>
      </c>
      <c r="AL19" s="637">
        <f>AJ19-AK19</f>
        <v>590.58000000000004</v>
      </c>
      <c r="AM19" s="637">
        <f>AI19+AL19</f>
        <v>21372.646666499997</v>
      </c>
      <c r="AN19" s="17"/>
      <c r="AO19" s="17"/>
      <c r="AS19" s="8"/>
    </row>
    <row r="20" spans="1:253" s="1" customFormat="1" ht="21.75" customHeight="1" thickBot="1" x14ac:dyDescent="0.25">
      <c r="A20" s="331">
        <v>576</v>
      </c>
      <c r="B20" s="468" t="s">
        <v>48</v>
      </c>
      <c r="C20" s="291">
        <f>IF(C19&gt;0,C19,0)</f>
        <v>0</v>
      </c>
      <c r="D20" s="331"/>
      <c r="E20" s="332"/>
      <c r="F20" s="333"/>
      <c r="G20" s="469"/>
      <c r="H20" s="470"/>
      <c r="I20" s="331">
        <v>115.88</v>
      </c>
      <c r="J20" s="471"/>
      <c r="K20" s="335"/>
      <c r="L20" s="335">
        <f>I20*'DATOS REFERENCIALES'!$C$4</f>
        <v>744.64487999999994</v>
      </c>
      <c r="M20" s="335"/>
      <c r="N20" s="302">
        <f>LOOKUP(C20,'TABLA ANTIG.'!$A$4:$A$39,'TABLA ANTIG.'!$B$4:$B$39)*(L20+M20)</f>
        <v>0</v>
      </c>
      <c r="O20" s="302">
        <f>(L20+M20)*0.1</f>
        <v>74.464488000000003</v>
      </c>
      <c r="P20" s="335"/>
      <c r="Q20" s="302"/>
      <c r="R20" s="302">
        <f>(L20+M20)*0.15</f>
        <v>111.69673199999998</v>
      </c>
      <c r="S20" s="336"/>
      <c r="T20" s="302">
        <f>L20+M20+N20+O20+P20+Q20+R20</f>
        <v>930.8060999999999</v>
      </c>
      <c r="U20" s="336">
        <f t="shared" si="3"/>
        <v>102.38867099999999</v>
      </c>
      <c r="V20" s="302">
        <f t="shared" si="4"/>
        <v>27.924182999999996</v>
      </c>
      <c r="W20" s="336">
        <f t="shared" si="4"/>
        <v>27.924182999999996</v>
      </c>
      <c r="X20" s="302">
        <f>$T20*2%</f>
        <v>18.616121999999997</v>
      </c>
      <c r="Y20" s="302">
        <f t="shared" si="6"/>
        <v>41.886274499999992</v>
      </c>
      <c r="Z20" s="302">
        <f t="shared" si="7"/>
        <v>218.73943349999996</v>
      </c>
      <c r="AA20" s="337">
        <f t="shared" si="8"/>
        <v>712.06666649999988</v>
      </c>
      <c r="AB20" s="302"/>
      <c r="AC20" s="302"/>
      <c r="AD20" s="300">
        <f t="shared" si="9"/>
        <v>712.06666649999988</v>
      </c>
      <c r="AE20" s="531"/>
      <c r="AF20" s="410"/>
      <c r="AG20" s="300"/>
      <c r="AH20" s="302"/>
      <c r="AI20" s="640"/>
      <c r="AJ20" s="696"/>
      <c r="AK20" s="638"/>
      <c r="AL20" s="638"/>
      <c r="AM20" s="638"/>
      <c r="AN20" s="17"/>
      <c r="AO20" s="17"/>
      <c r="AS20" s="8"/>
    </row>
    <row r="21" spans="1:253" s="1" customFormat="1" ht="21.75" customHeight="1" thickBot="1" x14ac:dyDescent="0.25">
      <c r="A21" s="190">
        <v>539</v>
      </c>
      <c r="B21" s="225" t="s">
        <v>55</v>
      </c>
      <c r="C21" s="190">
        <v>0</v>
      </c>
      <c r="D21" s="190"/>
      <c r="E21" s="235"/>
      <c r="F21" s="227"/>
      <c r="G21" s="228">
        <v>1120</v>
      </c>
      <c r="H21" s="236">
        <f t="shared" si="0"/>
        <v>1120</v>
      </c>
      <c r="I21" s="123"/>
      <c r="J21" s="123"/>
      <c r="K21" s="218">
        <f>H21*'DATOS REFERENCIALES'!$C$4</f>
        <v>7197.12</v>
      </c>
      <c r="L21" s="218"/>
      <c r="M21" s="218"/>
      <c r="N21" s="202">
        <f>LOOKUP(C21,'TABLA ANTIG.'!$A$4:$A$39,'TABLA ANTIG.'!$B$4:$B$39)*(K21)</f>
        <v>0</v>
      </c>
      <c r="O21" s="203">
        <f t="shared" si="1"/>
        <v>719.71199999999999</v>
      </c>
      <c r="P21" s="218">
        <f>'DATOS REFERENCIALES'!$C$8</f>
        <v>4275</v>
      </c>
      <c r="Q21" s="229">
        <f>LOOKUP(C21,'TABLA ANTIG.'!$A$4:$A$39,'TABLA ANTIG.'!$B$4:$B$39)*(P21)</f>
        <v>0</v>
      </c>
      <c r="R21" s="203">
        <f t="shared" si="2"/>
        <v>1720.8179999999998</v>
      </c>
      <c r="S21" s="79">
        <f>'DATOS REFERENCIALES'!$C$14</f>
        <v>0</v>
      </c>
      <c r="T21" s="203">
        <f>K21+N21+O21+P21+Q21+R21+S21</f>
        <v>13912.65</v>
      </c>
      <c r="U21" s="202">
        <f t="shared" si="3"/>
        <v>1530.3915</v>
      </c>
      <c r="V21" s="202">
        <f t="shared" si="4"/>
        <v>417.37949999999995</v>
      </c>
      <c r="W21" s="202">
        <f t="shared" si="4"/>
        <v>417.37949999999995</v>
      </c>
      <c r="X21" s="202">
        <f t="shared" si="5"/>
        <v>278.25299999999999</v>
      </c>
      <c r="Y21" s="202">
        <f t="shared" si="6"/>
        <v>626.06925000000001</v>
      </c>
      <c r="Z21" s="203">
        <f t="shared" si="7"/>
        <v>3269.4727499999999</v>
      </c>
      <c r="AA21" s="230">
        <f t="shared" si="8"/>
        <v>10643.177250000001</v>
      </c>
      <c r="AB21" s="202">
        <f>'DATOS REFERENCIALES'!$C$10</f>
        <v>1520</v>
      </c>
      <c r="AC21" s="155">
        <f>IF((IF(H21&gt;1119,('DATOS REFERENCIALES'!$C$9-(T21-U21-V21-W21-X21-Y21+AB21-L21-L21*0.235-(S21-S21*0.235))),(('DATOS REFERENCIALES'!$C$9/1120)*H21)-(K21+N21+O21+P21+Q21+R21-U21-V21-W21-X21-Y21+AB21-(L21-L21*0.235)-(S21*0.235))))&lt;0,0,IF(H21&gt;1119,(('DATOS REFERENCIALES'!$C$9)-(T21-U21-V21-W21-X21-Y21+AB21-(L21-L21*0.235)-(S21-S21*0.235))),(('DATOS REFERENCIALES'!$C$9/1120)*H21)-(K21+N21+O21+P21+Q21+R21-U21-V21-W21-X21-Y21+AB21-(L21-L21*0.235)-(S21*0.235))))</f>
        <v>4986.8227499999994</v>
      </c>
      <c r="AD21" s="202">
        <f t="shared" si="9"/>
        <v>17150</v>
      </c>
      <c r="AE21" s="536">
        <f>'DATOS REFERENCIALES'!$C$13</f>
        <v>1210</v>
      </c>
      <c r="AF21" s="272"/>
      <c r="AG21" s="229">
        <f>IF($H21&gt;1120,'DATOS REFERENCIALES'!C17,'DATOS REFERENCIALES'!C17/1120*$H21)</f>
        <v>1500</v>
      </c>
      <c r="AH21" s="202">
        <f>'DATOS REFERENCIALES'!$C$12</f>
        <v>210</v>
      </c>
      <c r="AI21" s="202">
        <f t="shared" ref="AI21:AI42" si="10">SUM(AD21:AH21)</f>
        <v>20070</v>
      </c>
      <c r="AJ21" s="578">
        <f>'DATOS REFERENCIALES'!C16</f>
        <v>772</v>
      </c>
      <c r="AK21" s="578">
        <f>AJ21*$AK$8</f>
        <v>181.42</v>
      </c>
      <c r="AL21" s="578">
        <f>AJ21-AK21</f>
        <v>590.58000000000004</v>
      </c>
      <c r="AM21" s="578">
        <f>AI21+AL21</f>
        <v>20660.580000000002</v>
      </c>
      <c r="AN21" s="17"/>
      <c r="AO21" s="17"/>
      <c r="AS21" s="8"/>
    </row>
    <row r="22" spans="1:253" s="1" customFormat="1" ht="21.75" customHeight="1" thickBot="1" x14ac:dyDescent="0.25">
      <c r="A22" s="305">
        <v>558</v>
      </c>
      <c r="B22" s="455" t="s">
        <v>4</v>
      </c>
      <c r="C22" s="305">
        <v>0</v>
      </c>
      <c r="D22" s="305"/>
      <c r="E22" s="382"/>
      <c r="F22" s="383"/>
      <c r="G22" s="456">
        <v>1307</v>
      </c>
      <c r="H22" s="457">
        <f t="shared" si="0"/>
        <v>1307</v>
      </c>
      <c r="I22" s="458"/>
      <c r="J22" s="458"/>
      <c r="K22" s="307">
        <f>H22*'DATOS REFERENCIALES'!$C$4</f>
        <v>8398.7820000000011</v>
      </c>
      <c r="L22" s="307"/>
      <c r="M22" s="307"/>
      <c r="N22" s="309">
        <f>LOOKUP(C22,'TABLA ANTIG.'!$A$4:$A$39,'TABLA ANTIG.'!$B$4:$B$39)*(K22)</f>
        <v>0</v>
      </c>
      <c r="O22" s="309">
        <f t="shared" si="1"/>
        <v>839.87820000000011</v>
      </c>
      <c r="P22" s="307">
        <f>'DATOS REFERENCIALES'!$C$8</f>
        <v>4275</v>
      </c>
      <c r="Q22" s="313">
        <f>LOOKUP(C22,'TABLA ANTIG.'!$A$4:$A$39,'TABLA ANTIG.'!$B$4:$B$39)*(P22)</f>
        <v>0</v>
      </c>
      <c r="R22" s="309">
        <f t="shared" si="2"/>
        <v>1901.0673000000002</v>
      </c>
      <c r="S22" s="309">
        <f>'DATOS REFERENCIALES'!$C$14</f>
        <v>0</v>
      </c>
      <c r="T22" s="309">
        <f>K22+N22+O22+P22+Q22+R22+S22</f>
        <v>15414.727500000003</v>
      </c>
      <c r="U22" s="309">
        <f t="shared" si="3"/>
        <v>1695.6200250000004</v>
      </c>
      <c r="V22" s="309">
        <f t="shared" si="4"/>
        <v>462.44182500000005</v>
      </c>
      <c r="W22" s="309">
        <f t="shared" si="4"/>
        <v>462.44182500000005</v>
      </c>
      <c r="X22" s="309">
        <f t="shared" si="5"/>
        <v>308.29455000000007</v>
      </c>
      <c r="Y22" s="309">
        <f t="shared" si="6"/>
        <v>693.66273750000005</v>
      </c>
      <c r="Z22" s="309">
        <f t="shared" si="7"/>
        <v>3622.4609625000003</v>
      </c>
      <c r="AA22" s="311">
        <f t="shared" si="8"/>
        <v>11792.266537500003</v>
      </c>
      <c r="AB22" s="309">
        <f>'DATOS REFERENCIALES'!$C$10</f>
        <v>1520</v>
      </c>
      <c r="AC22" s="309">
        <f>IF((IF(H22&gt;1119,('DATOS REFERENCIALES'!$C$9-(T22-U22-V22-W22-X22-Y22+AB22-L22-L22*0.235-(S22-S22*0.235))),(('DATOS REFERENCIALES'!$C$9/1120)*H22)-(K22+N22+O22+P22+Q22+R22-U22-V22-W22-X22-Y22+AB22-(L22-L22*0.235)-(S22*0.235))))&lt;0,0,IF(H22&gt;1119,(('DATOS REFERENCIALES'!$C$9)-(T22-U22-V22-W22-X22-Y22+AB22-(L22-L22*0.235)-(S22-S22*0.235))),(('DATOS REFERENCIALES'!$C$9/1120)*H22)-(K22+N22+O22+P22+Q22+R22-U22-V22-W22-X22-Y22+AB22-(L22-L22*0.235)-(S22*0.235))))</f>
        <v>3837.7334624999985</v>
      </c>
      <c r="AD22" s="309">
        <f t="shared" si="9"/>
        <v>17150</v>
      </c>
      <c r="AE22" s="314">
        <f>'DATOS REFERENCIALES'!$C$13</f>
        <v>1210</v>
      </c>
      <c r="AF22" s="387"/>
      <c r="AG22" s="313">
        <f>IF($H22&gt;1120,'DATOS REFERENCIALES'!C17,'DATOS REFERENCIALES'!C17/1120*$H22)</f>
        <v>1500</v>
      </c>
      <c r="AH22" s="309">
        <f>'DATOS REFERENCIALES'!$C$12</f>
        <v>210</v>
      </c>
      <c r="AI22" s="623">
        <f>SUM(AD22:AH22)+SUM(AD23:AH23)</f>
        <v>20672.380870875</v>
      </c>
      <c r="AJ22" s="621">
        <f>'DATOS REFERENCIALES'!C16</f>
        <v>772</v>
      </c>
      <c r="AK22" s="621">
        <f>AJ22*$AK$8</f>
        <v>181.42</v>
      </c>
      <c r="AL22" s="621">
        <f>AJ22-AK22</f>
        <v>590.58000000000004</v>
      </c>
      <c r="AM22" s="621">
        <f>AI22+AL22</f>
        <v>21262.960870875002</v>
      </c>
      <c r="AN22" s="579"/>
      <c r="AO22" s="17"/>
      <c r="AS22" s="8"/>
    </row>
    <row r="23" spans="1:253" s="1" customFormat="1" ht="21.75" customHeight="1" thickBot="1" x14ac:dyDescent="0.25">
      <c r="A23" s="317">
        <v>558</v>
      </c>
      <c r="B23" s="459" t="s">
        <v>4</v>
      </c>
      <c r="C23" s="317">
        <f>IF(C22&gt;0,C22,0)</f>
        <v>0</v>
      </c>
      <c r="D23" s="317"/>
      <c r="E23" s="389"/>
      <c r="F23" s="390"/>
      <c r="G23" s="460"/>
      <c r="H23" s="461"/>
      <c r="I23" s="317">
        <v>98.03</v>
      </c>
      <c r="J23" s="462"/>
      <c r="K23" s="319"/>
      <c r="L23" s="319">
        <f>I23*'DATOS REFERENCIALES'!$C$4</f>
        <v>629.94078000000002</v>
      </c>
      <c r="M23" s="319"/>
      <c r="N23" s="323">
        <f>LOOKUP(C23,'TABLA ANTIG.'!$A$4:$A$39,'TABLA ANTIG.'!$B$4:$B$39)*(L23+M23)</f>
        <v>0</v>
      </c>
      <c r="O23" s="323">
        <f>(L23+M23)*0.1</f>
        <v>62.994078000000002</v>
      </c>
      <c r="P23" s="319"/>
      <c r="Q23" s="323"/>
      <c r="R23" s="323">
        <f>(L23+M23)*0.15</f>
        <v>94.491117000000003</v>
      </c>
      <c r="S23" s="463"/>
      <c r="T23" s="323">
        <f>L23+M23+N23+O23+P23+Q23+R23</f>
        <v>787.42597500000011</v>
      </c>
      <c r="U23" s="324">
        <f t="shared" si="3"/>
        <v>86.61685725000001</v>
      </c>
      <c r="V23" s="323">
        <f t="shared" si="4"/>
        <v>23.622779250000001</v>
      </c>
      <c r="W23" s="324">
        <f t="shared" si="4"/>
        <v>23.622779250000001</v>
      </c>
      <c r="X23" s="323">
        <f>$T23*2%</f>
        <v>15.748519500000002</v>
      </c>
      <c r="Y23" s="323">
        <f t="shared" si="6"/>
        <v>35.434168875000005</v>
      </c>
      <c r="Z23" s="323">
        <f t="shared" si="7"/>
        <v>185.04510412500005</v>
      </c>
      <c r="AA23" s="326">
        <f t="shared" si="8"/>
        <v>602.38087087500003</v>
      </c>
      <c r="AB23" s="323"/>
      <c r="AC23" s="323"/>
      <c r="AD23" s="325">
        <f t="shared" si="9"/>
        <v>602.38087087500003</v>
      </c>
      <c r="AE23" s="327"/>
      <c r="AF23" s="394"/>
      <c r="AG23" s="325"/>
      <c r="AH23" s="323"/>
      <c r="AI23" s="663"/>
      <c r="AJ23" s="694"/>
      <c r="AK23" s="644"/>
      <c r="AL23" s="644"/>
      <c r="AM23" s="644"/>
      <c r="AN23" s="17"/>
      <c r="AO23" s="17"/>
      <c r="AS23" s="8"/>
    </row>
    <row r="24" spans="1:253" s="1" customFormat="1" ht="21.75" customHeight="1" x14ac:dyDescent="0.2">
      <c r="A24" s="120">
        <v>540</v>
      </c>
      <c r="B24" s="231" t="s">
        <v>11</v>
      </c>
      <c r="C24" s="177">
        <v>0</v>
      </c>
      <c r="D24" s="190"/>
      <c r="E24" s="44"/>
      <c r="F24" s="64"/>
      <c r="G24" s="65">
        <v>1120</v>
      </c>
      <c r="H24" s="123">
        <f t="shared" si="0"/>
        <v>1120</v>
      </c>
      <c r="I24" s="123"/>
      <c r="J24" s="123"/>
      <c r="K24" s="106">
        <f>H24*'DATOS REFERENCIALES'!$C$4</f>
        <v>7197.12</v>
      </c>
      <c r="L24" s="106"/>
      <c r="M24" s="106"/>
      <c r="N24" s="107">
        <f>LOOKUP(C24,'TABLA ANTIG.'!$A$4:$A$39,'TABLA ANTIG.'!$B$4:$B$39)*(K24)</f>
        <v>0</v>
      </c>
      <c r="O24" s="146">
        <f t="shared" si="1"/>
        <v>719.71199999999999</v>
      </c>
      <c r="P24" s="106">
        <f>'DATOS REFERENCIALES'!$C$8</f>
        <v>4275</v>
      </c>
      <c r="Q24" s="147">
        <f>LOOKUP(C24,'TABLA ANTIG.'!$A$4:$A$39,'TABLA ANTIG.'!$B$4:$B$39)*(P24)</f>
        <v>0</v>
      </c>
      <c r="R24" s="146">
        <f t="shared" si="2"/>
        <v>1720.8179999999998</v>
      </c>
      <c r="S24" s="79">
        <f>'DATOS REFERENCIALES'!$C$14</f>
        <v>0</v>
      </c>
      <c r="T24" s="558">
        <f t="shared" ref="T24:T42" si="11">K24+N24+O24+P24+Q24+R24+S24</f>
        <v>13912.65</v>
      </c>
      <c r="U24" s="107">
        <f t="shared" si="3"/>
        <v>1530.3915</v>
      </c>
      <c r="V24" s="107">
        <f t="shared" si="4"/>
        <v>417.37949999999995</v>
      </c>
      <c r="W24" s="107">
        <f t="shared" si="4"/>
        <v>417.37949999999995</v>
      </c>
      <c r="X24" s="107">
        <f t="shared" si="5"/>
        <v>278.25299999999999</v>
      </c>
      <c r="Y24" s="107">
        <f t="shared" si="6"/>
        <v>626.06925000000001</v>
      </c>
      <c r="Z24" s="114">
        <f t="shared" si="7"/>
        <v>3269.4727499999999</v>
      </c>
      <c r="AA24" s="150">
        <f t="shared" si="8"/>
        <v>10643.177250000001</v>
      </c>
      <c r="AB24" s="150">
        <f>'DATOS REFERENCIALES'!$C$10</f>
        <v>1520</v>
      </c>
      <c r="AC24" s="107">
        <f>IF((IF(H24&gt;1119,('DATOS REFERENCIALES'!$C$9-(T24-U24-V24-W24-X24-Y24+AB24-L24-L24*0.235-(S24-S24*0.235))),(('DATOS REFERENCIALES'!$C$9/1120)*H24)-(K24+N24+O24+P24+Q24+R24-U24-V24-W24-X24-Y24+AB24-(L24-L24*0.235)-(S24*0.235))))&lt;0,0,IF(H24&gt;1119,(('DATOS REFERENCIALES'!$C$9)-(T24-U24-V24-W24-X24-Y24+AB24-(L24-L24*0.235)-(S24-S24*0.235))),(('DATOS REFERENCIALES'!$C$9/1120)*H24)-(K24+N24+O24+P24+Q24+R24-U24-V24-W24-X24-Y24+AB24-(L24-L24*0.235)-(S24*0.235))))</f>
        <v>4986.8227499999994</v>
      </c>
      <c r="AD24" s="147">
        <f t="shared" si="9"/>
        <v>17150</v>
      </c>
      <c r="AE24" s="532">
        <f>'DATOS REFERENCIALES'!$C$13</f>
        <v>1210</v>
      </c>
      <c r="AF24" s="272"/>
      <c r="AG24" s="79">
        <f>IF($H24&gt;1120,'DATOS REFERENCIALES'!C17,'DATOS REFERENCIALES'!C17/1120*$H24)</f>
        <v>1500</v>
      </c>
      <c r="AH24" s="107">
        <f>'DATOS REFERENCIALES'!$C$12</f>
        <v>210</v>
      </c>
      <c r="AI24" s="79">
        <f t="shared" si="10"/>
        <v>20070</v>
      </c>
      <c r="AJ24" s="572">
        <f>'DATOS REFERENCIALES'!C16</f>
        <v>772</v>
      </c>
      <c r="AK24" s="572">
        <f t="shared" ref="AK24:AK42" si="12">AJ24*$AK$8</f>
        <v>181.42</v>
      </c>
      <c r="AL24" s="572">
        <f t="shared" ref="AL24:AL42" si="13">AJ24-AK24</f>
        <v>590.58000000000004</v>
      </c>
      <c r="AM24" s="572">
        <f>AI24+AL24</f>
        <v>20660.580000000002</v>
      </c>
      <c r="AN24" s="17"/>
      <c r="AO24" s="17"/>
      <c r="AS24" s="8"/>
    </row>
    <row r="25" spans="1:253" s="1" customFormat="1" ht="21.75" customHeight="1" x14ac:dyDescent="0.2">
      <c r="A25" s="35">
        <v>541</v>
      </c>
      <c r="B25" s="232" t="s">
        <v>12</v>
      </c>
      <c r="C25" s="34">
        <v>0</v>
      </c>
      <c r="D25" s="37"/>
      <c r="E25" s="178"/>
      <c r="F25" s="56"/>
      <c r="G25" s="63">
        <v>1120</v>
      </c>
      <c r="H25" s="48">
        <f t="shared" si="0"/>
        <v>1120</v>
      </c>
      <c r="I25" s="48"/>
      <c r="J25" s="48"/>
      <c r="K25" s="90">
        <f>H25*'DATOS REFERENCIALES'!$C$4</f>
        <v>7197.12</v>
      </c>
      <c r="L25" s="90"/>
      <c r="M25" s="90"/>
      <c r="N25" s="80">
        <f>LOOKUP(C25,'TABLA ANTIG.'!$A$4:$A$39,'TABLA ANTIG.'!$B$4:$B$39)*(K25)</f>
        <v>0</v>
      </c>
      <c r="O25" s="99">
        <f t="shared" si="1"/>
        <v>719.71199999999999</v>
      </c>
      <c r="P25" s="90">
        <f>'DATOS REFERENCIALES'!$C$8</f>
        <v>4275</v>
      </c>
      <c r="Q25" s="131">
        <f>LOOKUP(C25,'TABLA ANTIG.'!$A$4:$A$39,'TABLA ANTIG.'!$B$4:$B$39)*(P25)</f>
        <v>0</v>
      </c>
      <c r="R25" s="99">
        <f t="shared" si="2"/>
        <v>1720.8179999999998</v>
      </c>
      <c r="S25" s="80">
        <f>'DATOS REFERENCIALES'!$C$14</f>
        <v>0</v>
      </c>
      <c r="T25" s="160">
        <f t="shared" si="11"/>
        <v>13912.65</v>
      </c>
      <c r="U25" s="80">
        <f t="shared" si="3"/>
        <v>1530.3915</v>
      </c>
      <c r="V25" s="80">
        <f t="shared" si="4"/>
        <v>417.37949999999995</v>
      </c>
      <c r="W25" s="80">
        <f t="shared" si="4"/>
        <v>417.37949999999995</v>
      </c>
      <c r="X25" s="80">
        <f t="shared" si="5"/>
        <v>278.25299999999999</v>
      </c>
      <c r="Y25" s="80">
        <f t="shared" si="6"/>
        <v>626.06925000000001</v>
      </c>
      <c r="Z25" s="27">
        <f t="shared" si="7"/>
        <v>3269.4727499999999</v>
      </c>
      <c r="AA25" s="148">
        <f t="shared" si="8"/>
        <v>10643.177250000001</v>
      </c>
      <c r="AB25" s="148">
        <f>'DATOS REFERENCIALES'!$C$10</f>
        <v>1520</v>
      </c>
      <c r="AC25" s="80">
        <f>IF((IF(H25&gt;1119,('DATOS REFERENCIALES'!$C$9-(T25-U25-V25-W25-X25-Y25+AB25-L25-L25*0.235-(S25-S25*0.235))),(('DATOS REFERENCIALES'!$C$9/1120)*H25)-(K25+N25+O25+P25+Q25+R25-U25-V25-W25-X25-Y25+AB25-(L25-L25*0.235)-(S25*0.235))))&lt;0,0,IF(H25&gt;1119,(('DATOS REFERENCIALES'!$C$9)-(T25-U25-V25-W25-X25-Y25+AB25-(L25-L25*0.235)-(S25-S25*0.235))),(('DATOS REFERENCIALES'!$C$9/1120)*H25)-(K25+N25+O25+P25+Q25+R25-U25-V25-W25-X25-Y25+AB25-(L25-L25*0.235)-(S25*0.235))))</f>
        <v>4986.8227499999994</v>
      </c>
      <c r="AD25" s="131">
        <f t="shared" si="9"/>
        <v>17150</v>
      </c>
      <c r="AE25" s="92">
        <f>'DATOS REFERENCIALES'!$C$13</f>
        <v>1210</v>
      </c>
      <c r="AF25" s="275"/>
      <c r="AG25" s="80">
        <f>IF($H25&gt;1120,'DATOS REFERENCIALES'!C17,'DATOS REFERENCIALES'!C17/1120*$H25)</f>
        <v>1500</v>
      </c>
      <c r="AH25" s="80">
        <f>'DATOS REFERENCIALES'!$C$12</f>
        <v>210</v>
      </c>
      <c r="AI25" s="107">
        <f t="shared" si="10"/>
        <v>20070</v>
      </c>
      <c r="AJ25" s="582">
        <f>'DATOS REFERENCIALES'!$C$16</f>
        <v>772</v>
      </c>
      <c r="AK25" s="582">
        <f t="shared" si="12"/>
        <v>181.42</v>
      </c>
      <c r="AL25" s="582">
        <f t="shared" si="13"/>
        <v>590.58000000000004</v>
      </c>
      <c r="AM25" s="582">
        <f t="shared" ref="AM25:AM42" si="14">AI25+AL25</f>
        <v>20660.580000000002</v>
      </c>
      <c r="AN25" s="17"/>
      <c r="AO25" s="17"/>
      <c r="AS25" s="8"/>
    </row>
    <row r="26" spans="1:253" s="1" customFormat="1" ht="21.75" customHeight="1" x14ac:dyDescent="0.2">
      <c r="A26" s="35">
        <v>850</v>
      </c>
      <c r="B26" s="232" t="s">
        <v>13</v>
      </c>
      <c r="C26" s="34">
        <v>0</v>
      </c>
      <c r="D26" s="37"/>
      <c r="E26" s="178"/>
      <c r="F26" s="56"/>
      <c r="G26" s="63">
        <v>1120</v>
      </c>
      <c r="H26" s="48">
        <f t="shared" si="0"/>
        <v>1120</v>
      </c>
      <c r="I26" s="48"/>
      <c r="J26" s="48"/>
      <c r="K26" s="90">
        <f>H26*'DATOS REFERENCIALES'!$C$4</f>
        <v>7197.12</v>
      </c>
      <c r="L26" s="90"/>
      <c r="M26" s="90"/>
      <c r="N26" s="80">
        <f>LOOKUP(C26,'TABLA ANTIG.'!$A$4:$A$39,'TABLA ANTIG.'!$B$4:$B$39)*(K26)</f>
        <v>0</v>
      </c>
      <c r="O26" s="99">
        <f t="shared" si="1"/>
        <v>719.71199999999999</v>
      </c>
      <c r="P26" s="90">
        <f>'DATOS REFERENCIALES'!$C$8</f>
        <v>4275</v>
      </c>
      <c r="Q26" s="131">
        <f>LOOKUP(C26,'TABLA ANTIG.'!$A$4:$A$39,'TABLA ANTIG.'!$B$4:$B$39)*(P26)</f>
        <v>0</v>
      </c>
      <c r="R26" s="99">
        <f t="shared" si="2"/>
        <v>1720.8179999999998</v>
      </c>
      <c r="S26" s="80">
        <f>'DATOS REFERENCIALES'!$C$14</f>
        <v>0</v>
      </c>
      <c r="T26" s="160">
        <f t="shared" si="11"/>
        <v>13912.65</v>
      </c>
      <c r="U26" s="80">
        <f t="shared" si="3"/>
        <v>1530.3915</v>
      </c>
      <c r="V26" s="80">
        <f t="shared" si="4"/>
        <v>417.37949999999995</v>
      </c>
      <c r="W26" s="80">
        <f t="shared" si="4"/>
        <v>417.37949999999995</v>
      </c>
      <c r="X26" s="80">
        <f t="shared" si="5"/>
        <v>278.25299999999999</v>
      </c>
      <c r="Y26" s="80">
        <f t="shared" si="6"/>
        <v>626.06925000000001</v>
      </c>
      <c r="Z26" s="27">
        <f t="shared" si="7"/>
        <v>3269.4727499999999</v>
      </c>
      <c r="AA26" s="148">
        <f t="shared" si="8"/>
        <v>10643.177250000001</v>
      </c>
      <c r="AB26" s="148">
        <f>'DATOS REFERENCIALES'!$C$10</f>
        <v>1520</v>
      </c>
      <c r="AC26" s="80">
        <f>IF((IF(H26&gt;1119,('DATOS REFERENCIALES'!$C$9-(T26-U26-V26-W26-X26-Y26+AB26-L26-L26*0.235-(S26-S26*0.235))),(('DATOS REFERENCIALES'!$C$9/1120)*H26)-(K26+N26+O26+P26+Q26+R26-U26-V26-W26-X26-Y26+AB26-(L26-L26*0.235)-(S26*0.235))))&lt;0,0,IF(H26&gt;1119,(('DATOS REFERENCIALES'!$C$9)-(T26-U26-V26-W26-X26-Y26+AB26-(L26-L26*0.235)-(S26-S26*0.235))),(('DATOS REFERENCIALES'!$C$9/1120)*H26)-(K26+N26+O26+P26+Q26+R26-U26-V26-W26-X26-Y26+AB26-(L26-L26*0.235)-(S26*0.235))))</f>
        <v>4986.8227499999994</v>
      </c>
      <c r="AD26" s="131">
        <f t="shared" si="9"/>
        <v>17150</v>
      </c>
      <c r="AE26" s="92">
        <f>'DATOS REFERENCIALES'!$C$13</f>
        <v>1210</v>
      </c>
      <c r="AF26" s="275"/>
      <c r="AG26" s="80">
        <f>IF($H26&gt;1120,'DATOS REFERENCIALES'!C17,'DATOS REFERENCIALES'!C17/1120*$H26)</f>
        <v>1500</v>
      </c>
      <c r="AH26" s="80">
        <f>'DATOS REFERENCIALES'!$C$12</f>
        <v>210</v>
      </c>
      <c r="AI26" s="107">
        <f t="shared" si="10"/>
        <v>20070</v>
      </c>
      <c r="AJ26" s="582">
        <f>'DATOS REFERENCIALES'!$C$16</f>
        <v>772</v>
      </c>
      <c r="AK26" s="582">
        <f t="shared" si="12"/>
        <v>181.42</v>
      </c>
      <c r="AL26" s="582">
        <f t="shared" si="13"/>
        <v>590.58000000000004</v>
      </c>
      <c r="AM26" s="582">
        <f t="shared" si="14"/>
        <v>20660.580000000002</v>
      </c>
      <c r="AN26" s="17"/>
      <c r="AO26" s="17"/>
      <c r="AS26" s="8"/>
    </row>
    <row r="27" spans="1:253" s="1" customFormat="1" ht="21.75" customHeight="1" x14ac:dyDescent="0.2">
      <c r="A27" s="35">
        <v>852</v>
      </c>
      <c r="B27" s="232" t="s">
        <v>73</v>
      </c>
      <c r="C27" s="34">
        <v>0</v>
      </c>
      <c r="D27" s="37"/>
      <c r="E27" s="178"/>
      <c r="F27" s="56"/>
      <c r="G27" s="63">
        <v>1120</v>
      </c>
      <c r="H27" s="48">
        <f t="shared" si="0"/>
        <v>1120</v>
      </c>
      <c r="I27" s="48"/>
      <c r="J27" s="48"/>
      <c r="K27" s="90">
        <f>H27*'DATOS REFERENCIALES'!$C$4</f>
        <v>7197.12</v>
      </c>
      <c r="L27" s="90"/>
      <c r="M27" s="90"/>
      <c r="N27" s="80">
        <f>LOOKUP(C27,'TABLA ANTIG.'!$A$4:$A$39,'TABLA ANTIG.'!$B$4:$B$39)*(K27)</f>
        <v>0</v>
      </c>
      <c r="O27" s="99">
        <f t="shared" si="1"/>
        <v>719.71199999999999</v>
      </c>
      <c r="P27" s="90">
        <f>'DATOS REFERENCIALES'!$C$8</f>
        <v>4275</v>
      </c>
      <c r="Q27" s="131">
        <f>LOOKUP(C27,'TABLA ANTIG.'!$A$4:$A$39,'TABLA ANTIG.'!$B$4:$B$39)*(P27)</f>
        <v>0</v>
      </c>
      <c r="R27" s="99">
        <f t="shared" si="2"/>
        <v>1720.8179999999998</v>
      </c>
      <c r="S27" s="80">
        <f>'DATOS REFERENCIALES'!$C$14</f>
        <v>0</v>
      </c>
      <c r="T27" s="160">
        <f t="shared" si="11"/>
        <v>13912.65</v>
      </c>
      <c r="U27" s="80">
        <f t="shared" si="3"/>
        <v>1530.3915</v>
      </c>
      <c r="V27" s="80">
        <f t="shared" si="4"/>
        <v>417.37949999999995</v>
      </c>
      <c r="W27" s="80">
        <f t="shared" si="4"/>
        <v>417.37949999999995</v>
      </c>
      <c r="X27" s="80">
        <f t="shared" si="5"/>
        <v>278.25299999999999</v>
      </c>
      <c r="Y27" s="80">
        <f t="shared" si="6"/>
        <v>626.06925000000001</v>
      </c>
      <c r="Z27" s="27">
        <f t="shared" si="7"/>
        <v>3269.4727499999999</v>
      </c>
      <c r="AA27" s="148">
        <f t="shared" si="8"/>
        <v>10643.177250000001</v>
      </c>
      <c r="AB27" s="148">
        <f>'DATOS REFERENCIALES'!$C$10</f>
        <v>1520</v>
      </c>
      <c r="AC27" s="80">
        <f>IF((IF(H27&gt;1119,('DATOS REFERENCIALES'!$C$9-(T27-U27-V27-W27-X27-Y27+AB27-L27-L27*0.235-(S27-S27*0.235))),(('DATOS REFERENCIALES'!$C$9/1120)*H27)-(K27+N27+O27+P27+Q27+R27-U27-V27-W27-X27-Y27+AB27-(L27-L27*0.235)-(S27*0.235))))&lt;0,0,IF(H27&gt;1119,(('DATOS REFERENCIALES'!$C$9)-(T27-U27-V27-W27-X27-Y27+AB27-(L27-L27*0.235)-(S27-S27*0.235))),(('DATOS REFERENCIALES'!$C$9/1120)*H27)-(K27+N27+O27+P27+Q27+R27-U27-V27-W27-X27-Y27+AB27-(L27-L27*0.235)-(S27*0.235))))</f>
        <v>4986.8227499999994</v>
      </c>
      <c r="AD27" s="131">
        <f t="shared" si="9"/>
        <v>17150</v>
      </c>
      <c r="AE27" s="92">
        <f>'DATOS REFERENCIALES'!$C$13</f>
        <v>1210</v>
      </c>
      <c r="AF27" s="275"/>
      <c r="AG27" s="80">
        <f>IF($H27&gt;1120,'DATOS REFERENCIALES'!C17,'DATOS REFERENCIALES'!C17/1120*$H27)</f>
        <v>1500</v>
      </c>
      <c r="AH27" s="80">
        <f>'DATOS REFERENCIALES'!$C$12</f>
        <v>210</v>
      </c>
      <c r="AI27" s="107">
        <f t="shared" si="10"/>
        <v>20070</v>
      </c>
      <c r="AJ27" s="582">
        <f>'DATOS REFERENCIALES'!$C$16</f>
        <v>772</v>
      </c>
      <c r="AK27" s="582">
        <f t="shared" si="12"/>
        <v>181.42</v>
      </c>
      <c r="AL27" s="582">
        <f t="shared" si="13"/>
        <v>590.58000000000004</v>
      </c>
      <c r="AM27" s="582">
        <f t="shared" si="14"/>
        <v>20660.580000000002</v>
      </c>
      <c r="AN27" s="17"/>
      <c r="AO27" s="17"/>
      <c r="AS27" s="8"/>
    </row>
    <row r="28" spans="1:253" s="1" customFormat="1" ht="21.75" customHeight="1" x14ac:dyDescent="0.2">
      <c r="A28" s="35">
        <v>546</v>
      </c>
      <c r="B28" s="232" t="s">
        <v>14</v>
      </c>
      <c r="C28" s="34">
        <v>0</v>
      </c>
      <c r="D28" s="37"/>
      <c r="E28" s="178"/>
      <c r="F28" s="56"/>
      <c r="G28" s="63">
        <v>1120</v>
      </c>
      <c r="H28" s="48">
        <f t="shared" si="0"/>
        <v>1120</v>
      </c>
      <c r="I28" s="48"/>
      <c r="J28" s="48"/>
      <c r="K28" s="90">
        <f>H28*'DATOS REFERENCIALES'!$C$4</f>
        <v>7197.12</v>
      </c>
      <c r="L28" s="90"/>
      <c r="M28" s="90"/>
      <c r="N28" s="80">
        <f>LOOKUP(C28,'TABLA ANTIG.'!$A$4:$A$39,'TABLA ANTIG.'!$B$4:$B$39)*(K28)</f>
        <v>0</v>
      </c>
      <c r="O28" s="99">
        <f t="shared" si="1"/>
        <v>719.71199999999999</v>
      </c>
      <c r="P28" s="90">
        <f>'DATOS REFERENCIALES'!$C$8</f>
        <v>4275</v>
      </c>
      <c r="Q28" s="131">
        <f>LOOKUP(C28,'TABLA ANTIG.'!$A$4:$A$39,'TABLA ANTIG.'!$B$4:$B$39)*(P28)</f>
        <v>0</v>
      </c>
      <c r="R28" s="99">
        <f t="shared" si="2"/>
        <v>1720.8179999999998</v>
      </c>
      <c r="S28" s="80">
        <f>'DATOS REFERENCIALES'!$C$14</f>
        <v>0</v>
      </c>
      <c r="T28" s="160">
        <f t="shared" si="11"/>
        <v>13912.65</v>
      </c>
      <c r="U28" s="80">
        <f t="shared" si="3"/>
        <v>1530.3915</v>
      </c>
      <c r="V28" s="80">
        <f t="shared" si="4"/>
        <v>417.37949999999995</v>
      </c>
      <c r="W28" s="80">
        <f t="shared" si="4"/>
        <v>417.37949999999995</v>
      </c>
      <c r="X28" s="80">
        <f t="shared" si="5"/>
        <v>278.25299999999999</v>
      </c>
      <c r="Y28" s="80">
        <f t="shared" si="6"/>
        <v>626.06925000000001</v>
      </c>
      <c r="Z28" s="27">
        <f t="shared" si="7"/>
        <v>3269.4727499999999</v>
      </c>
      <c r="AA28" s="148">
        <f t="shared" si="8"/>
        <v>10643.177250000001</v>
      </c>
      <c r="AB28" s="148">
        <f>'DATOS REFERENCIALES'!$C$10</f>
        <v>1520</v>
      </c>
      <c r="AC28" s="80">
        <f>IF((IF(H28&gt;1119,('DATOS REFERENCIALES'!$C$9-(T28-U28-V28-W28-X28-Y28+AB28-L28-L28*0.235-(S28-S28*0.235))),(('DATOS REFERENCIALES'!$C$9/1120)*H28)-(K28+N28+O28+P28+Q28+R28-U28-V28-W28-X28-Y28+AB28-(L28-L28*0.235)-(S28*0.235))))&lt;0,0,IF(H28&gt;1119,(('DATOS REFERENCIALES'!$C$9)-(T28-U28-V28-W28-X28-Y28+AB28-(L28-L28*0.235)-(S28-S28*0.235))),(('DATOS REFERENCIALES'!$C$9/1120)*H28)-(K28+N28+O28+P28+Q28+R28-U28-V28-W28-X28-Y28+AB28-(L28-L28*0.235)-(S28*0.235))))</f>
        <v>4986.8227499999994</v>
      </c>
      <c r="AD28" s="131">
        <f t="shared" si="9"/>
        <v>17150</v>
      </c>
      <c r="AE28" s="92">
        <f>'DATOS REFERENCIALES'!$C$13</f>
        <v>1210</v>
      </c>
      <c r="AF28" s="275"/>
      <c r="AG28" s="80">
        <f>IF($H28&gt;1120,'DATOS REFERENCIALES'!C17,'DATOS REFERENCIALES'!C17/1120*$H28)</f>
        <v>1500</v>
      </c>
      <c r="AH28" s="80">
        <f>'DATOS REFERENCIALES'!$C$12</f>
        <v>210</v>
      </c>
      <c r="AI28" s="107">
        <f t="shared" si="10"/>
        <v>20070</v>
      </c>
      <c r="AJ28" s="582">
        <f>'DATOS REFERENCIALES'!$C$16</f>
        <v>772</v>
      </c>
      <c r="AK28" s="582">
        <f t="shared" si="12"/>
        <v>181.42</v>
      </c>
      <c r="AL28" s="582">
        <f t="shared" si="13"/>
        <v>590.58000000000004</v>
      </c>
      <c r="AM28" s="582">
        <f t="shared" si="14"/>
        <v>20660.580000000002</v>
      </c>
      <c r="AN28" s="17"/>
      <c r="AO28" s="17"/>
      <c r="AS28" s="8"/>
    </row>
    <row r="29" spans="1:253" s="1" customFormat="1" ht="21.75" customHeight="1" x14ac:dyDescent="0.2">
      <c r="A29" s="35">
        <v>571</v>
      </c>
      <c r="B29" s="232" t="s">
        <v>74</v>
      </c>
      <c r="C29" s="34">
        <v>0</v>
      </c>
      <c r="D29" s="35"/>
      <c r="E29" s="179"/>
      <c r="F29" s="34"/>
      <c r="G29" s="62">
        <v>1120</v>
      </c>
      <c r="H29" s="49">
        <f t="shared" si="0"/>
        <v>1120</v>
      </c>
      <c r="I29" s="49"/>
      <c r="J29" s="49"/>
      <c r="K29" s="90">
        <f>H29*'DATOS REFERENCIALES'!$C$4</f>
        <v>7197.12</v>
      </c>
      <c r="L29" s="90"/>
      <c r="M29" s="90"/>
      <c r="N29" s="80">
        <f>LOOKUP(C29,'TABLA ANTIG.'!$A$4:$A$39,'TABLA ANTIG.'!$B$4:$B$39)*(K29)</f>
        <v>0</v>
      </c>
      <c r="O29" s="99">
        <f t="shared" si="1"/>
        <v>719.71199999999999</v>
      </c>
      <c r="P29" s="90">
        <f>'DATOS REFERENCIALES'!$C$8</f>
        <v>4275</v>
      </c>
      <c r="Q29" s="131">
        <f>LOOKUP(C29,'TABLA ANTIG.'!$A$4:$A$39,'TABLA ANTIG.'!$B$4:$B$39)*(P29)</f>
        <v>0</v>
      </c>
      <c r="R29" s="99">
        <f t="shared" si="2"/>
        <v>1720.8179999999998</v>
      </c>
      <c r="S29" s="80">
        <f>'DATOS REFERENCIALES'!$C$14</f>
        <v>0</v>
      </c>
      <c r="T29" s="160">
        <f t="shared" si="11"/>
        <v>13912.65</v>
      </c>
      <c r="U29" s="80">
        <f t="shared" si="3"/>
        <v>1530.3915</v>
      </c>
      <c r="V29" s="80">
        <f t="shared" si="4"/>
        <v>417.37949999999995</v>
      </c>
      <c r="W29" s="80">
        <f t="shared" si="4"/>
        <v>417.37949999999995</v>
      </c>
      <c r="X29" s="80">
        <f t="shared" si="5"/>
        <v>278.25299999999999</v>
      </c>
      <c r="Y29" s="80">
        <f t="shared" si="6"/>
        <v>626.06925000000001</v>
      </c>
      <c r="Z29" s="27">
        <f t="shared" si="7"/>
        <v>3269.4727499999999</v>
      </c>
      <c r="AA29" s="148">
        <f t="shared" si="8"/>
        <v>10643.177250000001</v>
      </c>
      <c r="AB29" s="148">
        <f>'DATOS REFERENCIALES'!$C$10</f>
        <v>1520</v>
      </c>
      <c r="AC29" s="80">
        <f>IF((IF(H29&gt;1119,('DATOS REFERENCIALES'!$C$9-(T29-U29-V29-W29-X29-Y29+AB29-L29-L29*0.235-(S29-S29*0.235))),(('DATOS REFERENCIALES'!$C$9/1120)*H29)-(K29+N29+O29+P29+Q29+R29-U29-V29-W29-X29-Y29+AB29-(L29-L29*0.235)-(S29*0.235))))&lt;0,0,IF(H29&gt;1119,(('DATOS REFERENCIALES'!$C$9)-(T29-U29-V29-W29-X29-Y29+AB29-(L29-L29*0.235)-(S29-S29*0.235))),(('DATOS REFERENCIALES'!$C$9/1120)*H29)-(K29+N29+O29+P29+Q29+R29-U29-V29-W29-X29-Y29+AB29-(L29-L29*0.235)-(S29*0.235))))</f>
        <v>4986.8227499999994</v>
      </c>
      <c r="AD29" s="131">
        <f t="shared" si="9"/>
        <v>17150</v>
      </c>
      <c r="AE29" s="92">
        <f>'DATOS REFERENCIALES'!$C$13</f>
        <v>1210</v>
      </c>
      <c r="AF29" s="275"/>
      <c r="AG29" s="80">
        <f>IF($H29&gt;1120,'DATOS REFERENCIALES'!C17,'DATOS REFERENCIALES'!C17/1120*$H29)</f>
        <v>1500</v>
      </c>
      <c r="AH29" s="80">
        <f>'DATOS REFERENCIALES'!$C$12</f>
        <v>210</v>
      </c>
      <c r="AI29" s="107">
        <f t="shared" si="10"/>
        <v>20070</v>
      </c>
      <c r="AJ29" s="582">
        <f>'DATOS REFERENCIALES'!$C$16</f>
        <v>772</v>
      </c>
      <c r="AK29" s="582">
        <f t="shared" si="12"/>
        <v>181.42</v>
      </c>
      <c r="AL29" s="582">
        <f t="shared" si="13"/>
        <v>590.58000000000004</v>
      </c>
      <c r="AM29" s="582">
        <f t="shared" si="14"/>
        <v>20660.580000000002</v>
      </c>
      <c r="AN29" s="17"/>
      <c r="AO29" s="17"/>
      <c r="AS29" s="8"/>
    </row>
    <row r="30" spans="1:253" s="7" customFormat="1" ht="21.75" customHeight="1" x14ac:dyDescent="0.2">
      <c r="A30" s="35">
        <v>582</v>
      </c>
      <c r="B30" s="232" t="s">
        <v>72</v>
      </c>
      <c r="C30" s="34">
        <v>0</v>
      </c>
      <c r="D30" s="37"/>
      <c r="E30" s="178"/>
      <c r="F30" s="56"/>
      <c r="G30" s="63">
        <v>959.5</v>
      </c>
      <c r="H30" s="48">
        <f t="shared" si="0"/>
        <v>959.5</v>
      </c>
      <c r="I30" s="48"/>
      <c r="J30" s="48"/>
      <c r="K30" s="90">
        <f>H30*'DATOS REFERENCIALES'!$C$4</f>
        <v>6165.7470000000003</v>
      </c>
      <c r="L30" s="90"/>
      <c r="M30" s="90"/>
      <c r="N30" s="80">
        <f>LOOKUP(C30,'TABLA ANTIG.'!$A$4:$A$39,'TABLA ANTIG.'!$B$4:$B$39)*(K30)</f>
        <v>0</v>
      </c>
      <c r="O30" s="99">
        <f t="shared" si="1"/>
        <v>616.57470000000012</v>
      </c>
      <c r="P30" s="90">
        <f>'DATOS REFERENCIALES'!$C$8</f>
        <v>4275</v>
      </c>
      <c r="Q30" s="131">
        <f>LOOKUP(C30,'TABLA ANTIG.'!$A$4:$A$39,'TABLA ANTIG.'!$B$4:$B$39)*(P30)</f>
        <v>0</v>
      </c>
      <c r="R30" s="99">
        <f t="shared" si="2"/>
        <v>1566.11205</v>
      </c>
      <c r="S30" s="80">
        <f>'DATOS REFERENCIALES'!$C$14</f>
        <v>0</v>
      </c>
      <c r="T30" s="160">
        <f t="shared" si="11"/>
        <v>12623.43375</v>
      </c>
      <c r="U30" s="80">
        <f t="shared" si="3"/>
        <v>1388.5777125</v>
      </c>
      <c r="V30" s="80">
        <f t="shared" si="4"/>
        <v>378.7030125</v>
      </c>
      <c r="W30" s="80">
        <f t="shared" si="4"/>
        <v>378.7030125</v>
      </c>
      <c r="X30" s="80">
        <f t="shared" si="5"/>
        <v>252.46867500000002</v>
      </c>
      <c r="Y30" s="80">
        <f t="shared" si="6"/>
        <v>568.05451874999994</v>
      </c>
      <c r="Z30" s="27">
        <f t="shared" si="7"/>
        <v>2966.50693125</v>
      </c>
      <c r="AA30" s="148">
        <f t="shared" si="8"/>
        <v>9656.9268187500002</v>
      </c>
      <c r="AB30" s="148">
        <f>'DATOS REFERENCIALES'!$C$10</f>
        <v>1520</v>
      </c>
      <c r="AC30" s="80">
        <f>IF((IF(H30&gt;1119,('DATOS REFERENCIALES'!$C$9-(T30-U30-V30-W30-X30-Y30+AB30-L30-L30*0.235-(S30-S30*0.235))),(('DATOS REFERENCIALES'!$C$9/1120)*H30)-(K30+N30+O30+P30+Q30+R30-U30-V30-W30-X30-Y30+AB30-(L30-L30*0.235)-(S30*0.235))))&lt;0,0,IF(H30&gt;1119,(('DATOS REFERENCIALES'!$C$9)-(T30-(U30+V30+W30+X30+Y30)+AB30-(L30-L30*0.235)+(S30-S30*0.235))),(('DATOS REFERENCIALES'!$C$9/1120)*H30)-((K30+N30+O30+P30+Q30+R30)-(U30+V30+W30+X30+Y30)+AB30-(L30-L30*0.235)+(S30*0.235))))</f>
        <v>3515.4169312499998</v>
      </c>
      <c r="AD30" s="131">
        <f t="shared" si="9"/>
        <v>14692.34375</v>
      </c>
      <c r="AE30" s="92">
        <f>'DATOS REFERENCIALES'!$C$13</f>
        <v>1210</v>
      </c>
      <c r="AF30" s="275"/>
      <c r="AG30" s="80">
        <f>IF($H30&gt;1120,'DATOS REFERENCIALES'!C17,'DATOS REFERENCIALES'!C17/1120*$H30)</f>
        <v>1285.0446428571427</v>
      </c>
      <c r="AH30" s="80">
        <f>'DATOS REFERENCIALES'!$C$12</f>
        <v>210</v>
      </c>
      <c r="AI30" s="107">
        <f t="shared" si="10"/>
        <v>17397.388392857141</v>
      </c>
      <c r="AJ30" s="582">
        <f>'DATOS REFERENCIALES'!$C$16</f>
        <v>772</v>
      </c>
      <c r="AK30" s="582">
        <f t="shared" si="12"/>
        <v>181.42</v>
      </c>
      <c r="AL30" s="582">
        <f t="shared" si="13"/>
        <v>590.58000000000004</v>
      </c>
      <c r="AM30" s="582">
        <f t="shared" si="14"/>
        <v>17987.968392857143</v>
      </c>
      <c r="AN30" s="17"/>
      <c r="AO30" s="17"/>
      <c r="AP30" s="1"/>
      <c r="AQ30" s="1"/>
      <c r="AR30" s="1"/>
      <c r="AS30" s="8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</row>
    <row r="31" spans="1:253" s="7" customFormat="1" ht="21.75" customHeight="1" x14ac:dyDescent="0.2">
      <c r="A31" s="35">
        <v>583</v>
      </c>
      <c r="B31" s="232" t="s">
        <v>71</v>
      </c>
      <c r="C31" s="34">
        <v>0</v>
      </c>
      <c r="D31" s="37"/>
      <c r="E31" s="178"/>
      <c r="F31" s="56"/>
      <c r="G31" s="63">
        <v>982</v>
      </c>
      <c r="H31" s="48">
        <f t="shared" si="0"/>
        <v>982</v>
      </c>
      <c r="I31" s="48"/>
      <c r="J31" s="48"/>
      <c r="K31" s="90">
        <f>H31*'DATOS REFERENCIALES'!$C$4</f>
        <v>6310.3320000000003</v>
      </c>
      <c r="L31" s="90"/>
      <c r="M31" s="90"/>
      <c r="N31" s="80">
        <f>LOOKUP(C31,'TABLA ANTIG.'!$A$4:$A$39,'TABLA ANTIG.'!$B$4:$B$39)*(K31)</f>
        <v>0</v>
      </c>
      <c r="O31" s="99">
        <f t="shared" si="1"/>
        <v>631.03320000000008</v>
      </c>
      <c r="P31" s="90">
        <f>'DATOS REFERENCIALES'!$C$8</f>
        <v>4275</v>
      </c>
      <c r="Q31" s="131">
        <f>LOOKUP(C31,'TABLA ANTIG.'!$A$4:$A$39,'TABLA ANTIG.'!$B$4:$B$39)*(P31)</f>
        <v>0</v>
      </c>
      <c r="R31" s="99">
        <f t="shared" si="2"/>
        <v>1587.7998</v>
      </c>
      <c r="S31" s="80">
        <f>'DATOS REFERENCIALES'!$C$14</f>
        <v>0</v>
      </c>
      <c r="T31" s="160">
        <f t="shared" si="11"/>
        <v>12804.165000000001</v>
      </c>
      <c r="U31" s="80">
        <f t="shared" si="3"/>
        <v>1408.4581500000002</v>
      </c>
      <c r="V31" s="80">
        <f t="shared" si="4"/>
        <v>384.12495000000001</v>
      </c>
      <c r="W31" s="80">
        <f t="shared" si="4"/>
        <v>384.12495000000001</v>
      </c>
      <c r="X31" s="80">
        <f t="shared" si="5"/>
        <v>256.08330000000001</v>
      </c>
      <c r="Y31" s="80">
        <f t="shared" si="6"/>
        <v>576.18742499999996</v>
      </c>
      <c r="Z31" s="27">
        <f t="shared" si="7"/>
        <v>3008.9787750000005</v>
      </c>
      <c r="AA31" s="148">
        <f t="shared" si="8"/>
        <v>9795.1862250000013</v>
      </c>
      <c r="AB31" s="148">
        <f>'DATOS REFERENCIALES'!$C$10</f>
        <v>1520</v>
      </c>
      <c r="AC31" s="80">
        <f>IF((IF(H31&gt;1119,('DATOS REFERENCIALES'!$C$9-(T31-U31-V31-W31-X31-Y31+AB31-L31-L31*0.235-(S31-S31*0.235))),(('DATOS REFERENCIALES'!$C$9/1120)*H31)-(K31+N31+O31+P31+Q31+R31-U31-V31-W31-X31-Y31+AB31-(L31-L31*0.235)-(S31*0.235))))&lt;0,0,IF(H31&gt;1119,(('DATOS REFERENCIALES'!$C$9)-(T31-(U31+V31+W31+X31+Y31)+AB31-(L31-L31*0.235)+(S31-S31*0.235))),(('DATOS REFERENCIALES'!$C$9/1120)*H31)-((K31+N31+O31+P31+Q31+R31)-(U31+V31+W31+X31+Y31)+AB31-(L31-L31*0.235)+(S31*0.235))))</f>
        <v>3721.6887749999987</v>
      </c>
      <c r="AD31" s="131">
        <f t="shared" si="9"/>
        <v>15036.875</v>
      </c>
      <c r="AE31" s="92">
        <f>'DATOS REFERENCIALES'!$C$13</f>
        <v>1210</v>
      </c>
      <c r="AF31" s="275"/>
      <c r="AG31" s="80">
        <f>IF($H31&gt;1120,'DATOS REFERENCIALES'!C17,'DATOS REFERENCIALES'!C17/1120*$H31)</f>
        <v>1315.1785714285713</v>
      </c>
      <c r="AH31" s="80">
        <f>'DATOS REFERENCIALES'!$C$12</f>
        <v>210</v>
      </c>
      <c r="AI31" s="107">
        <f t="shared" si="10"/>
        <v>17772.053571428572</v>
      </c>
      <c r="AJ31" s="582">
        <f>'DATOS REFERENCIALES'!$C$16</f>
        <v>772</v>
      </c>
      <c r="AK31" s="582">
        <f t="shared" si="12"/>
        <v>181.42</v>
      </c>
      <c r="AL31" s="582">
        <f t="shared" si="13"/>
        <v>590.58000000000004</v>
      </c>
      <c r="AM31" s="582">
        <f t="shared" si="14"/>
        <v>18362.633571428574</v>
      </c>
      <c r="AN31" s="17"/>
      <c r="AO31" s="17"/>
      <c r="AP31" s="1"/>
      <c r="AQ31" s="1"/>
      <c r="AR31" s="1"/>
      <c r="AS31" s="8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</row>
    <row r="32" spans="1:253" s="1" customFormat="1" ht="21.75" customHeight="1" x14ac:dyDescent="0.2">
      <c r="A32" s="35">
        <v>554</v>
      </c>
      <c r="B32" s="232" t="s">
        <v>16</v>
      </c>
      <c r="C32" s="34">
        <v>0</v>
      </c>
      <c r="D32" s="37"/>
      <c r="E32" s="178"/>
      <c r="F32" s="56"/>
      <c r="G32" s="63">
        <v>810</v>
      </c>
      <c r="H32" s="48">
        <f t="shared" si="0"/>
        <v>810</v>
      </c>
      <c r="I32" s="48"/>
      <c r="J32" s="48"/>
      <c r="K32" s="90">
        <f>H32*'DATOS REFERENCIALES'!$C$4</f>
        <v>5205.0600000000004</v>
      </c>
      <c r="L32" s="90"/>
      <c r="M32" s="90"/>
      <c r="N32" s="80">
        <f>LOOKUP(C32,'TABLA ANTIG.'!$A$4:$A$39,'TABLA ANTIG.'!$B$4:$B$39)*(K32)</f>
        <v>0</v>
      </c>
      <c r="O32" s="99">
        <f t="shared" si="1"/>
        <v>520.50600000000009</v>
      </c>
      <c r="P32" s="90">
        <f>'DATOS REFERENCIALES'!$C$8</f>
        <v>4275</v>
      </c>
      <c r="Q32" s="131">
        <f>LOOKUP(C32,'TABLA ANTIG.'!$A$4:$A$39,'TABLA ANTIG.'!$B$4:$B$39)*(P32)</f>
        <v>0</v>
      </c>
      <c r="R32" s="99">
        <f t="shared" si="2"/>
        <v>1422.0090000000002</v>
      </c>
      <c r="S32" s="80">
        <f>'DATOS REFERENCIALES'!$C$14</f>
        <v>0</v>
      </c>
      <c r="T32" s="160">
        <f t="shared" si="11"/>
        <v>11422.575000000001</v>
      </c>
      <c r="U32" s="80">
        <f t="shared" si="3"/>
        <v>1256.48325</v>
      </c>
      <c r="V32" s="80">
        <f t="shared" si="4"/>
        <v>342.67725000000002</v>
      </c>
      <c r="W32" s="80">
        <f t="shared" si="4"/>
        <v>342.67725000000002</v>
      </c>
      <c r="X32" s="80">
        <f t="shared" si="5"/>
        <v>228.45150000000001</v>
      </c>
      <c r="Y32" s="80">
        <f t="shared" si="6"/>
        <v>514.01587500000005</v>
      </c>
      <c r="Z32" s="27">
        <f t="shared" si="7"/>
        <v>2684.3051249999999</v>
      </c>
      <c r="AA32" s="148">
        <f t="shared" si="8"/>
        <v>8738.2698750000018</v>
      </c>
      <c r="AB32" s="148">
        <f>'DATOS REFERENCIALES'!$C$10</f>
        <v>1520</v>
      </c>
      <c r="AC32" s="80">
        <f>IF((IF(H32&gt;1119,('DATOS REFERENCIALES'!$C$9-(T32-U32-V32-W32-X32-Y32+AB32-L32-L32*0.235-(S32-S32*0.235))),(('DATOS REFERENCIALES'!$C$9/1120)*H32)-(K32+N32+O32+P32+Q32+R32-U32-V32-W32-X32-Y32+AB32-(L32-L32*0.235)-(S32*0.235))))&lt;0,0,IF(H32&gt;1119,(('DATOS REFERENCIALES'!$C$9)-(T32-(U32+V32+W32+X32+Y32)+AB32-(L32-L32*0.235)+(S32-S32*0.235))),(('DATOS REFERENCIALES'!$C$9/1120)*H32)-((K32+N32+O32+P32+Q32+R32)-(U32+V32+W32+X32+Y32)+AB32-(L32-L32*0.235)+(S32*0.235))))</f>
        <v>2144.8551249999982</v>
      </c>
      <c r="AD32" s="131">
        <f t="shared" si="9"/>
        <v>12403.125</v>
      </c>
      <c r="AE32" s="92">
        <f>'DATOS REFERENCIALES'!$C$13</f>
        <v>1210</v>
      </c>
      <c r="AF32" s="275"/>
      <c r="AG32" s="80">
        <f>IF($H32&gt;1120,'DATOS REFERENCIALES'!C17,'DATOS REFERENCIALES'!C17/1120*$H32)</f>
        <v>1084.8214285714284</v>
      </c>
      <c r="AH32" s="80">
        <f>'DATOS REFERENCIALES'!$C$12</f>
        <v>210</v>
      </c>
      <c r="AI32" s="107">
        <f t="shared" si="10"/>
        <v>14907.946428571428</v>
      </c>
      <c r="AJ32" s="582">
        <f>'DATOS REFERENCIALES'!$C$16</f>
        <v>772</v>
      </c>
      <c r="AK32" s="582">
        <f t="shared" si="12"/>
        <v>181.42</v>
      </c>
      <c r="AL32" s="582">
        <f t="shared" si="13"/>
        <v>590.58000000000004</v>
      </c>
      <c r="AM32" s="582">
        <f t="shared" si="14"/>
        <v>15498.526428571427</v>
      </c>
      <c r="AN32" s="17"/>
      <c r="AO32" s="17"/>
      <c r="AS32" s="8"/>
    </row>
    <row r="33" spans="1:45" s="1" customFormat="1" ht="21.75" customHeight="1" x14ac:dyDescent="0.2">
      <c r="A33" s="35">
        <v>536</v>
      </c>
      <c r="B33" s="232" t="s">
        <v>21</v>
      </c>
      <c r="C33" s="34">
        <v>0</v>
      </c>
      <c r="D33" s="37"/>
      <c r="E33" s="178"/>
      <c r="F33" s="56"/>
      <c r="G33" s="63">
        <v>1120</v>
      </c>
      <c r="H33" s="48">
        <f t="shared" si="0"/>
        <v>1120</v>
      </c>
      <c r="I33" s="48"/>
      <c r="J33" s="48"/>
      <c r="K33" s="90">
        <f>H33*'DATOS REFERENCIALES'!$C$4</f>
        <v>7197.12</v>
      </c>
      <c r="L33" s="90"/>
      <c r="M33" s="90"/>
      <c r="N33" s="80">
        <f>LOOKUP(C33,'TABLA ANTIG.'!$A$4:$A$39,'TABLA ANTIG.'!$B$4:$B$39)*(K33)</f>
        <v>0</v>
      </c>
      <c r="O33" s="99">
        <f t="shared" si="1"/>
        <v>719.71199999999999</v>
      </c>
      <c r="P33" s="90">
        <f>'DATOS REFERENCIALES'!$C$8</f>
        <v>4275</v>
      </c>
      <c r="Q33" s="131">
        <f>LOOKUP(C33,'TABLA ANTIG.'!$A$4:$A$39,'TABLA ANTIG.'!$B$4:$B$39)*(P33)</f>
        <v>0</v>
      </c>
      <c r="R33" s="99">
        <f t="shared" si="2"/>
        <v>1720.8179999999998</v>
      </c>
      <c r="S33" s="80">
        <f>'DATOS REFERENCIALES'!$C$14</f>
        <v>0</v>
      </c>
      <c r="T33" s="160">
        <f t="shared" si="11"/>
        <v>13912.65</v>
      </c>
      <c r="U33" s="80">
        <f t="shared" si="3"/>
        <v>1530.3915</v>
      </c>
      <c r="V33" s="80">
        <f t="shared" si="4"/>
        <v>417.37949999999995</v>
      </c>
      <c r="W33" s="80">
        <f t="shared" si="4"/>
        <v>417.37949999999995</v>
      </c>
      <c r="X33" s="80">
        <f t="shared" si="5"/>
        <v>278.25299999999999</v>
      </c>
      <c r="Y33" s="80">
        <f t="shared" si="6"/>
        <v>626.06925000000001</v>
      </c>
      <c r="Z33" s="27">
        <f t="shared" si="7"/>
        <v>3269.4727499999999</v>
      </c>
      <c r="AA33" s="148">
        <f t="shared" si="8"/>
        <v>10643.177250000001</v>
      </c>
      <c r="AB33" s="148">
        <f>'DATOS REFERENCIALES'!$C$10</f>
        <v>1520</v>
      </c>
      <c r="AC33" s="80">
        <f>IF((IF(H33&gt;1119,('DATOS REFERENCIALES'!$C$9-(T33-U33-V33-W33-X33-Y33+AB33-L33-L33*0.235-(S33-S33*0.235))),(('DATOS REFERENCIALES'!$C$9/1120)*H33)-(K33+N33+O33+P33+Q33+R33-U33-V33-W33-X33-Y33+AB33-(L33-L33*0.235)-(S33*0.235))))&lt;0,0,IF(H33&gt;1119,(('DATOS REFERENCIALES'!$C$9)-(T33-U33-V33-W33-X33-Y33+AB33-(L33-L33*0.235)-(S33-S33*0.235))),(('DATOS REFERENCIALES'!$C$9/1120)*H33)-(K33+N33+O33+P33+Q33+R33-U33-V33-W33-X33-Y33+AB33-(L33-L33*0.235)-(S33*0.235))))</f>
        <v>4986.8227499999994</v>
      </c>
      <c r="AD33" s="131">
        <f t="shared" si="9"/>
        <v>17150</v>
      </c>
      <c r="AE33" s="92">
        <f>'DATOS REFERENCIALES'!$C$13</f>
        <v>1210</v>
      </c>
      <c r="AF33" s="275"/>
      <c r="AG33" s="80">
        <f>IF($H33&gt;1120,'DATOS REFERENCIALES'!C17,'DATOS REFERENCIALES'!C17/1120*$H33)</f>
        <v>1500</v>
      </c>
      <c r="AH33" s="80">
        <f>'DATOS REFERENCIALES'!$C$12</f>
        <v>210</v>
      </c>
      <c r="AI33" s="107">
        <f t="shared" si="10"/>
        <v>20070</v>
      </c>
      <c r="AJ33" s="582">
        <f>'DATOS REFERENCIALES'!$C$16</f>
        <v>772</v>
      </c>
      <c r="AK33" s="582">
        <f t="shared" si="12"/>
        <v>181.42</v>
      </c>
      <c r="AL33" s="582">
        <f t="shared" si="13"/>
        <v>590.58000000000004</v>
      </c>
      <c r="AM33" s="582">
        <f t="shared" si="14"/>
        <v>20660.580000000002</v>
      </c>
      <c r="AN33" s="17"/>
      <c r="AO33" s="17"/>
      <c r="AS33" s="8"/>
    </row>
    <row r="34" spans="1:45" s="1" customFormat="1" ht="21.75" customHeight="1" x14ac:dyDescent="0.2">
      <c r="A34" s="35">
        <v>580</v>
      </c>
      <c r="B34" s="232" t="s">
        <v>6</v>
      </c>
      <c r="C34" s="34">
        <v>0</v>
      </c>
      <c r="D34" s="35"/>
      <c r="E34" s="179"/>
      <c r="F34" s="34"/>
      <c r="G34" s="62">
        <v>1120</v>
      </c>
      <c r="H34" s="49">
        <f t="shared" si="0"/>
        <v>1120</v>
      </c>
      <c r="I34" s="49"/>
      <c r="J34" s="49"/>
      <c r="K34" s="90">
        <f>H34*'DATOS REFERENCIALES'!$C$4</f>
        <v>7197.12</v>
      </c>
      <c r="L34" s="90"/>
      <c r="M34" s="90"/>
      <c r="N34" s="80">
        <f>LOOKUP(C34,'TABLA ANTIG.'!$A$4:$A$39,'TABLA ANTIG.'!$B$4:$B$39)*(K34)</f>
        <v>0</v>
      </c>
      <c r="O34" s="99">
        <f t="shared" si="1"/>
        <v>719.71199999999999</v>
      </c>
      <c r="P34" s="90">
        <f>'DATOS REFERENCIALES'!$C$8</f>
        <v>4275</v>
      </c>
      <c r="Q34" s="131">
        <f>LOOKUP(C34,'TABLA ANTIG.'!$A$4:$A$39,'TABLA ANTIG.'!$B$4:$B$39)*(P34)</f>
        <v>0</v>
      </c>
      <c r="R34" s="99">
        <f t="shared" si="2"/>
        <v>1720.8179999999998</v>
      </c>
      <c r="S34" s="80">
        <f>'DATOS REFERENCIALES'!$C$14</f>
        <v>0</v>
      </c>
      <c r="T34" s="160">
        <f t="shared" si="11"/>
        <v>13912.65</v>
      </c>
      <c r="U34" s="80">
        <f t="shared" si="3"/>
        <v>1530.3915</v>
      </c>
      <c r="V34" s="80">
        <f t="shared" si="4"/>
        <v>417.37949999999995</v>
      </c>
      <c r="W34" s="80">
        <f t="shared" si="4"/>
        <v>417.37949999999995</v>
      </c>
      <c r="X34" s="80">
        <f t="shared" si="5"/>
        <v>278.25299999999999</v>
      </c>
      <c r="Y34" s="80">
        <f t="shared" si="6"/>
        <v>626.06925000000001</v>
      </c>
      <c r="Z34" s="27">
        <f t="shared" si="7"/>
        <v>3269.4727499999999</v>
      </c>
      <c r="AA34" s="148">
        <f t="shared" si="8"/>
        <v>10643.177250000001</v>
      </c>
      <c r="AB34" s="148">
        <f>'DATOS REFERENCIALES'!$C$10</f>
        <v>1520</v>
      </c>
      <c r="AC34" s="80">
        <f>IF((IF(H34&gt;1119,('DATOS REFERENCIALES'!$C$9-(T34-U34-V34-W34-X34-Y34+AB34-L34-L34*0.235-(S34-S34*0.235))),(('DATOS REFERENCIALES'!$C$9/1120)*H34)-(K34+N34+O34+P34+Q34+R34-U34-V34-W34-X34-Y34+AB34-(L34-L34*0.235)-(S34*0.235))))&lt;0,0,IF(H34&gt;1119,(('DATOS REFERENCIALES'!$C$9)-(T34-U34-V34-W34-X34-Y34+AB34-(L34-L34*0.235)-(S34-S34*0.235))),(('DATOS REFERENCIALES'!$C$9/1120)*H34)-(K34+N34+O34+P34+Q34+R34-U34-V34-W34-X34-Y34+AB34-(L34-L34*0.235)-(S34*0.235))))</f>
        <v>4986.8227499999994</v>
      </c>
      <c r="AD34" s="131">
        <f t="shared" si="9"/>
        <v>17150</v>
      </c>
      <c r="AE34" s="92">
        <f>'DATOS REFERENCIALES'!$C$13</f>
        <v>1210</v>
      </c>
      <c r="AF34" s="275"/>
      <c r="AG34" s="80">
        <f>IF($H34&gt;1120,'DATOS REFERENCIALES'!C17,'DATOS REFERENCIALES'!C17/1120*$H34)</f>
        <v>1500</v>
      </c>
      <c r="AH34" s="80">
        <f>'DATOS REFERENCIALES'!$C$12</f>
        <v>210</v>
      </c>
      <c r="AI34" s="107">
        <f t="shared" si="10"/>
        <v>20070</v>
      </c>
      <c r="AJ34" s="582">
        <f>'DATOS REFERENCIALES'!$C$16</f>
        <v>772</v>
      </c>
      <c r="AK34" s="582">
        <f t="shared" si="12"/>
        <v>181.42</v>
      </c>
      <c r="AL34" s="582">
        <f t="shared" si="13"/>
        <v>590.58000000000004</v>
      </c>
      <c r="AM34" s="582">
        <f t="shared" si="14"/>
        <v>20660.580000000002</v>
      </c>
      <c r="AN34" s="17"/>
      <c r="AO34" s="17"/>
      <c r="AS34" s="8"/>
    </row>
    <row r="35" spans="1:45" s="1" customFormat="1" ht="21.75" customHeight="1" x14ac:dyDescent="0.2">
      <c r="A35" s="35">
        <v>6539</v>
      </c>
      <c r="B35" s="232" t="s">
        <v>17</v>
      </c>
      <c r="C35" s="34">
        <v>0</v>
      </c>
      <c r="D35" s="23">
        <v>1</v>
      </c>
      <c r="E35" s="178"/>
      <c r="F35" s="56"/>
      <c r="G35" s="63">
        <v>56</v>
      </c>
      <c r="H35" s="48">
        <f t="shared" si="0"/>
        <v>56</v>
      </c>
      <c r="I35" s="48"/>
      <c r="J35" s="48"/>
      <c r="K35" s="90">
        <f>(H35*'DATOS REFERENCIALES'!$C$4)*D35</f>
        <v>359.85599999999999</v>
      </c>
      <c r="L35" s="90"/>
      <c r="M35" s="90"/>
      <c r="N35" s="80">
        <f>LOOKUP(C35,'TABLA ANTIG.'!$A$4:$A$39,'TABLA ANTIG.'!$B$4:$B$39)*(K35)</f>
        <v>0</v>
      </c>
      <c r="O35" s="99">
        <f t="shared" si="1"/>
        <v>35.985599999999998</v>
      </c>
      <c r="P35" s="90">
        <f>IF(D35&gt;48,'DATOS REFERENCIALES'!$D$8+('DATOS REFERENCIALES'!$F$8*10),IF(D35&lt;39,'DATOS REFERENCIALES'!$E$8*D35,((D35-'DATOS REFERENCIALES'!$I$8)*'DATOS REFERENCIALES'!$F$8)+'DATOS REFERENCIALES'!$D$8))</f>
        <v>225</v>
      </c>
      <c r="Q35" s="131">
        <f>LOOKUP(C35,'TABLA ANTIG.'!$A$4:$A$39,'TABLA ANTIG.'!$B$4:$B$39)*(P35)</f>
        <v>0</v>
      </c>
      <c r="R35" s="99">
        <f t="shared" si="2"/>
        <v>87.728399999999993</v>
      </c>
      <c r="S35" s="90">
        <f>IF(D35&gt;29.99,'DATOS REFERENCIALES'!$D$14,'DATOS REFERENCIALES'!$E$14*D35)</f>
        <v>0</v>
      </c>
      <c r="T35" s="160">
        <f t="shared" si="11"/>
        <v>708.56999999999994</v>
      </c>
      <c r="U35" s="80">
        <f t="shared" si="3"/>
        <v>77.942699999999988</v>
      </c>
      <c r="V35" s="80">
        <f t="shared" si="4"/>
        <v>21.257099999999998</v>
      </c>
      <c r="W35" s="80">
        <f t="shared" si="4"/>
        <v>21.257099999999998</v>
      </c>
      <c r="X35" s="80">
        <f t="shared" si="5"/>
        <v>14.171399999999998</v>
      </c>
      <c r="Y35" s="80">
        <f t="shared" si="6"/>
        <v>31.885649999999995</v>
      </c>
      <c r="Z35" s="27">
        <f t="shared" si="7"/>
        <v>166.51394999999997</v>
      </c>
      <c r="AA35" s="148">
        <f t="shared" si="8"/>
        <v>542.05604999999991</v>
      </c>
      <c r="AB35" s="148">
        <f>IF(D35&gt;38,'DATOS REFERENCIALES'!$D$10,'DATOS REFERENCIALES'!$E$10*D35)</f>
        <v>80</v>
      </c>
      <c r="AC35" s="80">
        <f>IF(D35&gt;41,IF((('DATOS REFERENCIALES'!$D$9)-((T35-S35)-(Z35-S35*0.235)+(AB35)))&lt;0,0,((('DATOS REFERENCIALES'!$D$9)-((T35-S35)-(Z35-S35*0.235)+(AB35))))),IF((('DATOS REFERENCIALES'!$E$9*D35)-(((T35-S35)-(Z35-S35*0.235)+(AB35))))&lt;0,0,('DATOS REFERENCIALES'!$E$9*D35)-((T35-S35)-(Z35-S35*0.235)+(AB35))))</f>
        <v>235.44395000000009</v>
      </c>
      <c r="AD35" s="131">
        <f t="shared" si="9"/>
        <v>857.5</v>
      </c>
      <c r="AE35" s="92">
        <f>IF(D35&gt;30,'DATOS REFERENCIALES'!$D$13,('DATOS REFERENCIALES'!$E$13*D35))</f>
        <v>80.666659999999993</v>
      </c>
      <c r="AF35" s="275"/>
      <c r="AG35" s="80">
        <f>IF(D35&gt;'DATOS REFERENCIALES'!$I$17,'DATOS REFERENCIALES'!$D$17,('DATOS REFERENCIALES'!$E$17*D35))</f>
        <v>75</v>
      </c>
      <c r="AH35" s="80">
        <f>IF(D35&gt;'DATOS REFERENCIALES'!$I$12,'DATOS REFERENCIALES'!$D$12,'DATOS REFERENCIALES'!$E$12*D35)</f>
        <v>14</v>
      </c>
      <c r="AI35" s="80">
        <f t="shared" si="10"/>
        <v>1027.1666599999999</v>
      </c>
      <c r="AJ35" s="582">
        <f>IF(D35&gt;'DATOS REFERENCIALES'!$I$16,'DATOS REFERENCIALES'!$D$16,'DATOS REFERENCIALES'!$E$16*D35)</f>
        <v>51.47</v>
      </c>
      <c r="AK35" s="582">
        <f t="shared" si="12"/>
        <v>12.09545</v>
      </c>
      <c r="AL35" s="582">
        <f t="shared" si="13"/>
        <v>39.374549999999999</v>
      </c>
      <c r="AM35" s="582">
        <f t="shared" si="14"/>
        <v>1066.5412099999999</v>
      </c>
      <c r="AN35" s="17"/>
      <c r="AO35" s="17"/>
      <c r="AS35" s="8"/>
    </row>
    <row r="36" spans="1:45" s="1" customFormat="1" ht="21.75" customHeight="1" x14ac:dyDescent="0.2">
      <c r="A36" s="35">
        <v>6540</v>
      </c>
      <c r="B36" s="232" t="s">
        <v>18</v>
      </c>
      <c r="C36" s="34">
        <v>0</v>
      </c>
      <c r="D36" s="23">
        <v>1</v>
      </c>
      <c r="E36" s="178"/>
      <c r="F36" s="56"/>
      <c r="G36" s="63">
        <v>56</v>
      </c>
      <c r="H36" s="48">
        <f t="shared" si="0"/>
        <v>56</v>
      </c>
      <c r="I36" s="48"/>
      <c r="J36" s="48"/>
      <c r="K36" s="90">
        <f>(H36*'DATOS REFERENCIALES'!$C$4)*D36</f>
        <v>359.85599999999999</v>
      </c>
      <c r="L36" s="90"/>
      <c r="M36" s="90"/>
      <c r="N36" s="80">
        <f>LOOKUP(C36,'TABLA ANTIG.'!$A$4:$A$39,'TABLA ANTIG.'!$B$4:$B$39)*(K36)</f>
        <v>0</v>
      </c>
      <c r="O36" s="99">
        <f t="shared" si="1"/>
        <v>35.985599999999998</v>
      </c>
      <c r="P36" s="90">
        <f>IF(D36&gt;48,'DATOS REFERENCIALES'!D22+('DATOS REFERENCIALES'!F22*10),IF(D36&lt;39,'DATOS REFERENCIALES'!$E$8*D36,((D36-'DATOS REFERENCIALES'!$I$8)*'DATOS REFERENCIALES'!$F$8)+'DATOS REFERENCIALES'!D22))</f>
        <v>225</v>
      </c>
      <c r="Q36" s="131">
        <f>LOOKUP(C36,'TABLA ANTIG.'!$A$4:$A$39,'TABLA ANTIG.'!$B$4:$B$39)*(P36)</f>
        <v>0</v>
      </c>
      <c r="R36" s="99">
        <f t="shared" si="2"/>
        <v>87.728399999999993</v>
      </c>
      <c r="S36" s="90">
        <f>IF(D36&gt;29.99,'DATOS REFERENCIALES'!$D$14,'DATOS REFERENCIALES'!$E$14*D36)</f>
        <v>0</v>
      </c>
      <c r="T36" s="160">
        <f t="shared" si="11"/>
        <v>708.56999999999994</v>
      </c>
      <c r="U36" s="80">
        <f t="shared" si="3"/>
        <v>77.942699999999988</v>
      </c>
      <c r="V36" s="80">
        <f t="shared" si="4"/>
        <v>21.257099999999998</v>
      </c>
      <c r="W36" s="80">
        <f t="shared" si="4"/>
        <v>21.257099999999998</v>
      </c>
      <c r="X36" s="80">
        <f t="shared" si="5"/>
        <v>14.171399999999998</v>
      </c>
      <c r="Y36" s="80">
        <f t="shared" si="6"/>
        <v>31.885649999999995</v>
      </c>
      <c r="Z36" s="27">
        <f t="shared" si="7"/>
        <v>166.51394999999997</v>
      </c>
      <c r="AA36" s="148">
        <f t="shared" si="8"/>
        <v>542.05604999999991</v>
      </c>
      <c r="AB36" s="148">
        <f>IF(D36&gt;38,'DATOS REFERENCIALES'!$D$10,'DATOS REFERENCIALES'!$E$10*D36)</f>
        <v>80</v>
      </c>
      <c r="AC36" s="80">
        <f>IF(D36&gt;41,IF((('DATOS REFERENCIALES'!$D$9)-((T36-S36)-(Z36-S36*0.235)+(AB36)))&lt;0,0,((('DATOS REFERENCIALES'!$D$9)-((T36-S36)-(Z36-S36*0.235)+(AB36))))),IF((('DATOS REFERENCIALES'!$E$9*D36)-(((T36-S36)-(Z36-S36*0.235)+(AB36))))&lt;0,0,('DATOS REFERENCIALES'!$E$9*D36)-((T36-S36)-(Z36-S36*0.235)+(AB36))))</f>
        <v>235.44395000000009</v>
      </c>
      <c r="AD36" s="131">
        <f t="shared" si="9"/>
        <v>857.5</v>
      </c>
      <c r="AE36" s="92">
        <f>IF(D36&gt;30,'DATOS REFERENCIALES'!$D$13,('DATOS REFERENCIALES'!$E$13*D36))</f>
        <v>80.666659999999993</v>
      </c>
      <c r="AF36" s="275"/>
      <c r="AG36" s="80">
        <f>IF(D36&gt;'DATOS REFERENCIALES'!$I$17,'DATOS REFERENCIALES'!$D$17,('DATOS REFERENCIALES'!$E$17*D36))</f>
        <v>75</v>
      </c>
      <c r="AH36" s="80">
        <f>IF(D36&gt;'DATOS REFERENCIALES'!$I$12,'DATOS REFERENCIALES'!$D$12,'DATOS REFERENCIALES'!$E$12*D36)</f>
        <v>14</v>
      </c>
      <c r="AI36" s="80">
        <f t="shared" si="10"/>
        <v>1027.1666599999999</v>
      </c>
      <c r="AJ36" s="582">
        <f>IF(D36&gt;'DATOS REFERENCIALES'!$I$16,'DATOS REFERENCIALES'!$D$16,'DATOS REFERENCIALES'!$E$16*D36)</f>
        <v>51.47</v>
      </c>
      <c r="AK36" s="582">
        <f t="shared" si="12"/>
        <v>12.09545</v>
      </c>
      <c r="AL36" s="582">
        <f t="shared" si="13"/>
        <v>39.374549999999999</v>
      </c>
      <c r="AM36" s="582">
        <f t="shared" si="14"/>
        <v>1066.5412099999999</v>
      </c>
      <c r="AN36" s="17"/>
      <c r="AO36" s="17"/>
      <c r="AS36" s="8"/>
    </row>
    <row r="37" spans="1:45" s="1" customFormat="1" ht="21.75" customHeight="1" x14ac:dyDescent="0.2">
      <c r="A37" s="35">
        <v>6541</v>
      </c>
      <c r="B37" s="232" t="s">
        <v>50</v>
      </c>
      <c r="C37" s="34">
        <v>0</v>
      </c>
      <c r="D37" s="23">
        <v>1</v>
      </c>
      <c r="E37" s="178"/>
      <c r="F37" s="56"/>
      <c r="G37" s="63">
        <v>56</v>
      </c>
      <c r="H37" s="48">
        <f t="shared" si="0"/>
        <v>56</v>
      </c>
      <c r="I37" s="48"/>
      <c r="J37" s="48"/>
      <c r="K37" s="90">
        <f>(H37*'DATOS REFERENCIALES'!$C$4)*D37</f>
        <v>359.85599999999999</v>
      </c>
      <c r="L37" s="90"/>
      <c r="M37" s="90"/>
      <c r="N37" s="80">
        <f>LOOKUP(C37,'TABLA ANTIG.'!$A$4:$A$39,'TABLA ANTIG.'!$B$4:$B$39)*(K37)</f>
        <v>0</v>
      </c>
      <c r="O37" s="99">
        <f t="shared" si="1"/>
        <v>35.985599999999998</v>
      </c>
      <c r="P37" s="90">
        <f>IF(D37&gt;48,'DATOS REFERENCIALES'!$D$8+('DATOS REFERENCIALES'!$F$8*10),IF(D37&lt;39,'DATOS REFERENCIALES'!$E$8*D37,((D37-'DATOS REFERENCIALES'!$I$8)*'DATOS REFERENCIALES'!$F$8)+'DATOS REFERENCIALES'!$D$8))</f>
        <v>225</v>
      </c>
      <c r="Q37" s="131">
        <f>LOOKUP(C37,'TABLA ANTIG.'!$A$4:$A$39,'TABLA ANTIG.'!$B$4:$B$39)*(P37)</f>
        <v>0</v>
      </c>
      <c r="R37" s="99">
        <f t="shared" si="2"/>
        <v>87.728399999999993</v>
      </c>
      <c r="S37" s="90">
        <f>IF(D37&gt;29.99,'DATOS REFERENCIALES'!$D$14,'DATOS REFERENCIALES'!$E$14*D37)</f>
        <v>0</v>
      </c>
      <c r="T37" s="160">
        <f t="shared" si="11"/>
        <v>708.56999999999994</v>
      </c>
      <c r="U37" s="80">
        <f t="shared" si="3"/>
        <v>77.942699999999988</v>
      </c>
      <c r="V37" s="80">
        <f t="shared" si="4"/>
        <v>21.257099999999998</v>
      </c>
      <c r="W37" s="80">
        <f t="shared" si="4"/>
        <v>21.257099999999998</v>
      </c>
      <c r="X37" s="80">
        <f t="shared" si="5"/>
        <v>14.171399999999998</v>
      </c>
      <c r="Y37" s="80">
        <f t="shared" si="6"/>
        <v>31.885649999999995</v>
      </c>
      <c r="Z37" s="27">
        <f t="shared" si="7"/>
        <v>166.51394999999997</v>
      </c>
      <c r="AA37" s="148">
        <f t="shared" si="8"/>
        <v>542.05604999999991</v>
      </c>
      <c r="AB37" s="148">
        <f>IF(D37&gt;38,'DATOS REFERENCIALES'!$D$10,'DATOS REFERENCIALES'!$E$10*D37)</f>
        <v>80</v>
      </c>
      <c r="AC37" s="80">
        <f>IF(D37&gt;41,IF((('DATOS REFERENCIALES'!$D$9)-((T37-S37)-(Z37-S37*0.235)+(AB37)))&lt;0,0,((('DATOS REFERENCIALES'!$D$9)-((T37-S37)-(Z37-S37*0.235)+(AB37))))),IF((('DATOS REFERENCIALES'!$E$9*D37)-(((T37-S37)-(Z37-S37*0.235)+(AB37))))&lt;0,0,('DATOS REFERENCIALES'!$E$9*D37)-((T37-S37)-(Z37-S37*0.235)+(AB37))))</f>
        <v>235.44395000000009</v>
      </c>
      <c r="AD37" s="131">
        <f t="shared" si="9"/>
        <v>857.5</v>
      </c>
      <c r="AE37" s="92">
        <f>IF(D37&gt;30,'DATOS REFERENCIALES'!$D$13,('DATOS REFERENCIALES'!$E$13*D37))</f>
        <v>80.666659999999993</v>
      </c>
      <c r="AF37" s="275"/>
      <c r="AG37" s="80">
        <f>IF(D37&gt;'DATOS REFERENCIALES'!$I$17,'DATOS REFERENCIALES'!$D$17,('DATOS REFERENCIALES'!$E$17*D37))</f>
        <v>75</v>
      </c>
      <c r="AH37" s="80">
        <f>IF(D37&gt;'DATOS REFERENCIALES'!$I$12,'DATOS REFERENCIALES'!$D$12,'DATOS REFERENCIALES'!$E$12*D37)</f>
        <v>14</v>
      </c>
      <c r="AI37" s="80">
        <f t="shared" si="10"/>
        <v>1027.1666599999999</v>
      </c>
      <c r="AJ37" s="582">
        <f>IF(D37&gt;'DATOS REFERENCIALES'!$I$16,'DATOS REFERENCIALES'!$D$16,'DATOS REFERENCIALES'!$E$16*D37)</f>
        <v>51.47</v>
      </c>
      <c r="AK37" s="582">
        <f t="shared" si="12"/>
        <v>12.09545</v>
      </c>
      <c r="AL37" s="582">
        <f t="shared" si="13"/>
        <v>39.374549999999999</v>
      </c>
      <c r="AM37" s="582">
        <f t="shared" si="14"/>
        <v>1066.5412099999999</v>
      </c>
      <c r="AN37" s="17"/>
      <c r="AO37" s="17"/>
      <c r="AS37" s="8"/>
    </row>
    <row r="38" spans="1:45" s="1" customFormat="1" ht="21.75" customHeight="1" x14ac:dyDescent="0.2">
      <c r="A38" s="35">
        <v>6850</v>
      </c>
      <c r="B38" s="232" t="s">
        <v>22</v>
      </c>
      <c r="C38" s="34">
        <v>0</v>
      </c>
      <c r="D38" s="23">
        <v>1</v>
      </c>
      <c r="E38" s="178"/>
      <c r="F38" s="56"/>
      <c r="G38" s="63">
        <v>56</v>
      </c>
      <c r="H38" s="48">
        <f t="shared" si="0"/>
        <v>56</v>
      </c>
      <c r="I38" s="48"/>
      <c r="J38" s="48"/>
      <c r="K38" s="90">
        <f>(H38*'DATOS REFERENCIALES'!$C$4)*D38</f>
        <v>359.85599999999999</v>
      </c>
      <c r="L38" s="90"/>
      <c r="M38" s="90"/>
      <c r="N38" s="80">
        <f>LOOKUP(C38,'TABLA ANTIG.'!$A$4:$A$39,'TABLA ANTIG.'!$B$4:$B$39)*(K38)</f>
        <v>0</v>
      </c>
      <c r="O38" s="99">
        <f t="shared" si="1"/>
        <v>35.985599999999998</v>
      </c>
      <c r="P38" s="90">
        <f>IF(D38&gt;48,'DATOS REFERENCIALES'!$D$8+('DATOS REFERENCIALES'!$F$8*10),IF(D38&lt;39,'DATOS REFERENCIALES'!$E$8*D38,((D38-'DATOS REFERENCIALES'!$I$8)*'DATOS REFERENCIALES'!$F$8)+'DATOS REFERENCIALES'!$D$8))</f>
        <v>225</v>
      </c>
      <c r="Q38" s="131">
        <f>LOOKUP(C38,'TABLA ANTIG.'!$A$4:$A$39,'TABLA ANTIG.'!$B$4:$B$39)*(P38)</f>
        <v>0</v>
      </c>
      <c r="R38" s="99">
        <f t="shared" si="2"/>
        <v>87.728399999999993</v>
      </c>
      <c r="S38" s="90">
        <f>IF(D38&gt;29.99,'DATOS REFERENCIALES'!$D$14,'DATOS REFERENCIALES'!$E$14*D38)</f>
        <v>0</v>
      </c>
      <c r="T38" s="160">
        <f t="shared" si="11"/>
        <v>708.56999999999994</v>
      </c>
      <c r="U38" s="80">
        <f t="shared" si="3"/>
        <v>77.942699999999988</v>
      </c>
      <c r="V38" s="80">
        <f t="shared" si="4"/>
        <v>21.257099999999998</v>
      </c>
      <c r="W38" s="80">
        <f t="shared" si="4"/>
        <v>21.257099999999998</v>
      </c>
      <c r="X38" s="80">
        <f t="shared" si="5"/>
        <v>14.171399999999998</v>
      </c>
      <c r="Y38" s="80">
        <f t="shared" si="6"/>
        <v>31.885649999999995</v>
      </c>
      <c r="Z38" s="27">
        <f t="shared" si="7"/>
        <v>166.51394999999997</v>
      </c>
      <c r="AA38" s="148">
        <f t="shared" si="8"/>
        <v>542.05604999999991</v>
      </c>
      <c r="AB38" s="148">
        <f>IF(D38&gt;38,'DATOS REFERENCIALES'!$D$10,'DATOS REFERENCIALES'!$E$10*D38)</f>
        <v>80</v>
      </c>
      <c r="AC38" s="80">
        <f>IF(D38&gt;41,IF((('DATOS REFERENCIALES'!$D$9)-((T38-S38)-(Z38-S38*0.235)+(AB38)))&lt;0,0,((('DATOS REFERENCIALES'!$D$9)-((T38-S38)-(Z38-S38*0.235)+(AB38))))),IF((('DATOS REFERENCIALES'!$E$9*D38)-(((T38-S38)-(Z38-S38*0.235)+(AB38))))&lt;0,0,('DATOS REFERENCIALES'!$E$9*D38)-((T38-S38)-(Z38-S38*0.235)+(AB38))))</f>
        <v>235.44395000000009</v>
      </c>
      <c r="AD38" s="131">
        <f t="shared" si="9"/>
        <v>857.5</v>
      </c>
      <c r="AE38" s="92">
        <f>IF(D38&gt;30,'DATOS REFERENCIALES'!$D$13,('DATOS REFERENCIALES'!$E$13*D38))</f>
        <v>80.666659999999993</v>
      </c>
      <c r="AF38" s="275"/>
      <c r="AG38" s="80">
        <f>IF(D38&gt;'DATOS REFERENCIALES'!$I$17,'DATOS REFERENCIALES'!$D$17,('DATOS REFERENCIALES'!$E$17*D38))</f>
        <v>75</v>
      </c>
      <c r="AH38" s="80">
        <f>IF(D38&gt;'DATOS REFERENCIALES'!$I$12,'DATOS REFERENCIALES'!$D$12,'DATOS REFERENCIALES'!$E$12*D38)</f>
        <v>14</v>
      </c>
      <c r="AI38" s="80">
        <f t="shared" si="10"/>
        <v>1027.1666599999999</v>
      </c>
      <c r="AJ38" s="582">
        <f>IF(D38&gt;'DATOS REFERENCIALES'!$I$16,'DATOS REFERENCIALES'!$D$16,'DATOS REFERENCIALES'!$E$16*D38)</f>
        <v>51.47</v>
      </c>
      <c r="AK38" s="582">
        <f t="shared" si="12"/>
        <v>12.09545</v>
      </c>
      <c r="AL38" s="582">
        <f t="shared" si="13"/>
        <v>39.374549999999999</v>
      </c>
      <c r="AM38" s="582">
        <f t="shared" si="14"/>
        <v>1066.5412099999999</v>
      </c>
      <c r="AN38" s="17"/>
      <c r="AO38" s="17"/>
      <c r="AS38" s="8"/>
    </row>
    <row r="39" spans="1:45" s="1" customFormat="1" ht="21.75" customHeight="1" x14ac:dyDescent="0.2">
      <c r="A39" s="35">
        <v>6546</v>
      </c>
      <c r="B39" s="232" t="s">
        <v>19</v>
      </c>
      <c r="C39" s="34">
        <v>0</v>
      </c>
      <c r="D39" s="23">
        <v>1</v>
      </c>
      <c r="E39" s="179"/>
      <c r="F39" s="34"/>
      <c r="G39" s="62">
        <v>74.67</v>
      </c>
      <c r="H39" s="49">
        <f t="shared" si="0"/>
        <v>74.67</v>
      </c>
      <c r="I39" s="49"/>
      <c r="J39" s="49"/>
      <c r="K39" s="90">
        <f>(H39*'DATOS REFERENCIALES'!$C$4)*D39</f>
        <v>479.82942000000003</v>
      </c>
      <c r="L39" s="90"/>
      <c r="M39" s="90"/>
      <c r="N39" s="80">
        <f>LOOKUP(C39,'TABLA ANTIG.'!$A$4:$A$39,'TABLA ANTIG.'!$B$4:$B$39)*(K39)</f>
        <v>0</v>
      </c>
      <c r="O39" s="99">
        <f t="shared" si="1"/>
        <v>47.982942000000008</v>
      </c>
      <c r="P39" s="90">
        <f>IF(D39&gt;48,'DATOS REFERENCIALES'!$D$8+('DATOS REFERENCIALES'!$F$8*10),IF(D39&lt;39,'DATOS REFERENCIALES'!$E$8*D39,((D39-'DATOS REFERENCIALES'!$I$8)*'DATOS REFERENCIALES'!$F$8)+'DATOS REFERENCIALES'!$D$8))</f>
        <v>225</v>
      </c>
      <c r="Q39" s="131">
        <f>LOOKUP(C39,'TABLA ANTIG.'!$A$4:$A$39,'TABLA ANTIG.'!$B$4:$B$39)*(P39)</f>
        <v>0</v>
      </c>
      <c r="R39" s="99">
        <f t="shared" si="2"/>
        <v>105.724413</v>
      </c>
      <c r="S39" s="90">
        <f>IF(D39&gt;29.99,'DATOS REFERENCIALES'!$D$14,'DATOS REFERENCIALES'!$E$14*D39)</f>
        <v>0</v>
      </c>
      <c r="T39" s="160">
        <f t="shared" si="11"/>
        <v>858.53677500000003</v>
      </c>
      <c r="U39" s="80">
        <f t="shared" si="3"/>
        <v>94.439045250000007</v>
      </c>
      <c r="V39" s="80">
        <f t="shared" si="4"/>
        <v>25.756103249999999</v>
      </c>
      <c r="W39" s="80">
        <f t="shared" si="4"/>
        <v>25.756103249999999</v>
      </c>
      <c r="X39" s="80">
        <f t="shared" si="5"/>
        <v>17.170735500000003</v>
      </c>
      <c r="Y39" s="80">
        <f t="shared" si="6"/>
        <v>38.634154875</v>
      </c>
      <c r="Z39" s="27">
        <f t="shared" si="7"/>
        <v>201.75614212500003</v>
      </c>
      <c r="AA39" s="148">
        <f t="shared" si="8"/>
        <v>656.78063287500004</v>
      </c>
      <c r="AB39" s="148">
        <f>IF(D39&gt;38,'DATOS REFERENCIALES'!$D$10,'DATOS REFERENCIALES'!$E$10*D39)</f>
        <v>80</v>
      </c>
      <c r="AC39" s="80">
        <f>IF(D39&gt;41,IF((('DATOS REFERENCIALES'!$D$9)-((T39-S39)-(Z39-S39*0.235)+(AB39)))&lt;0,0,((('DATOS REFERENCIALES'!$D$9)-((T39-S39)-(Z39-S39*0.235)+(AB39))))),IF((('DATOS REFERENCIALES'!$E$9*D39)-(((T39-S39)-(Z39-S39*0.235)+(AB39))))&lt;0,0,('DATOS REFERENCIALES'!$E$9*D39)-((T39-S39)-(Z39-S39*0.235)+(AB39))))</f>
        <v>120.71936712499996</v>
      </c>
      <c r="AD39" s="131">
        <f t="shared" si="9"/>
        <v>857.5</v>
      </c>
      <c r="AE39" s="92">
        <f>IF(D39&gt;30,'DATOS REFERENCIALES'!$D$13,('DATOS REFERENCIALES'!$E$13*D39))</f>
        <v>80.666659999999993</v>
      </c>
      <c r="AF39" s="275"/>
      <c r="AG39" s="80">
        <f>IF(D39&gt;'DATOS REFERENCIALES'!$I$17,'DATOS REFERENCIALES'!$D$17,('DATOS REFERENCIALES'!$E$17*D39))</f>
        <v>75</v>
      </c>
      <c r="AH39" s="80">
        <f>IF(D39&gt;'DATOS REFERENCIALES'!$I$12,'DATOS REFERENCIALES'!$D$12,'DATOS REFERENCIALES'!$E$12*D39)</f>
        <v>14</v>
      </c>
      <c r="AI39" s="80">
        <f>AD39+AE39+AG39+AH39</f>
        <v>1027.1666599999999</v>
      </c>
      <c r="AJ39" s="582">
        <f>IF(D39&gt;'DATOS REFERENCIALES'!$I$16,'DATOS REFERENCIALES'!$D$16,'DATOS REFERENCIALES'!$E$16*D39)</f>
        <v>51.47</v>
      </c>
      <c r="AK39" s="582">
        <f t="shared" si="12"/>
        <v>12.09545</v>
      </c>
      <c r="AL39" s="582">
        <f t="shared" si="13"/>
        <v>39.374549999999999</v>
      </c>
      <c r="AM39" s="582">
        <f t="shared" si="14"/>
        <v>1066.5412099999999</v>
      </c>
      <c r="AN39" s="17"/>
      <c r="AO39" s="17"/>
      <c r="AS39" s="8"/>
    </row>
    <row r="40" spans="1:45" s="1" customFormat="1" ht="21.75" customHeight="1" x14ac:dyDescent="0.2">
      <c r="A40" s="120">
        <v>6571</v>
      </c>
      <c r="B40" s="231" t="s">
        <v>20</v>
      </c>
      <c r="C40" s="177">
        <v>0</v>
      </c>
      <c r="D40" s="23">
        <v>1</v>
      </c>
      <c r="E40" s="44"/>
      <c r="F40" s="64"/>
      <c r="G40" s="65">
        <v>56</v>
      </c>
      <c r="H40" s="123">
        <f t="shared" si="0"/>
        <v>56</v>
      </c>
      <c r="I40" s="123"/>
      <c r="J40" s="123"/>
      <c r="K40" s="90">
        <f>(H40*'DATOS REFERENCIALES'!$C$4)*D40</f>
        <v>359.85599999999999</v>
      </c>
      <c r="L40" s="90"/>
      <c r="M40" s="90"/>
      <c r="N40" s="80">
        <f>LOOKUP(C40,'TABLA ANTIG.'!$A$4:$A$39,'TABLA ANTIG.'!$B$4:$B$39)*(K40)</f>
        <v>0</v>
      </c>
      <c r="O40" s="99">
        <f t="shared" si="1"/>
        <v>35.985599999999998</v>
      </c>
      <c r="P40" s="90">
        <f>IF(D40&gt;48,'DATOS REFERENCIALES'!$D$8+('DATOS REFERENCIALES'!$F$8*10),IF(D40&lt;39,'DATOS REFERENCIALES'!$E$8*D40,((D40-'DATOS REFERENCIALES'!$I$8)*'DATOS REFERENCIALES'!$F$8)+'DATOS REFERENCIALES'!$D$8))</f>
        <v>225</v>
      </c>
      <c r="Q40" s="131">
        <f>LOOKUP(C40,'TABLA ANTIG.'!$A$4:$A$39,'TABLA ANTIG.'!$B$4:$B$39)*(P40)</f>
        <v>0</v>
      </c>
      <c r="R40" s="99">
        <f t="shared" si="2"/>
        <v>87.728399999999993</v>
      </c>
      <c r="S40" s="90">
        <f>IF(D40&gt;29.99,'DATOS REFERENCIALES'!$D$14,'DATOS REFERENCIALES'!$E$14*D40)</f>
        <v>0</v>
      </c>
      <c r="T40" s="160">
        <f t="shared" si="11"/>
        <v>708.56999999999994</v>
      </c>
      <c r="U40" s="80">
        <f t="shared" si="3"/>
        <v>77.942699999999988</v>
      </c>
      <c r="V40" s="80">
        <f t="shared" si="4"/>
        <v>21.257099999999998</v>
      </c>
      <c r="W40" s="80">
        <f t="shared" si="4"/>
        <v>21.257099999999998</v>
      </c>
      <c r="X40" s="80">
        <f t="shared" si="5"/>
        <v>14.171399999999998</v>
      </c>
      <c r="Y40" s="80">
        <f t="shared" si="6"/>
        <v>31.885649999999995</v>
      </c>
      <c r="Z40" s="27">
        <f t="shared" si="7"/>
        <v>166.51394999999997</v>
      </c>
      <c r="AA40" s="148">
        <f t="shared" si="8"/>
        <v>542.05604999999991</v>
      </c>
      <c r="AB40" s="148">
        <f>IF(D40&gt;38,'DATOS REFERENCIALES'!$D$10,'DATOS REFERENCIALES'!$E$10*D40)</f>
        <v>80</v>
      </c>
      <c r="AC40" s="80">
        <f>IF(D40&gt;41,IF((('DATOS REFERENCIALES'!$D$9)-((T40-S40)-(Z40-S40*0.235)+(AB40)))&lt;0,0,((('DATOS REFERENCIALES'!$D$9)-((T40-S40)-(Z40-S40*0.235)+(AB40))))),IF((('DATOS REFERENCIALES'!$E$9*D40)-(((T40-S40)-(Z40-S40*0.235)+(AB40))))&lt;0,0,('DATOS REFERENCIALES'!$E$9*D40)-((T40-S40)-(Z40-S40*0.235)+(AB40))))</f>
        <v>235.44395000000009</v>
      </c>
      <c r="AD40" s="131">
        <f t="shared" si="9"/>
        <v>857.5</v>
      </c>
      <c r="AE40" s="92">
        <f>IF(D40&gt;30,'DATOS REFERENCIALES'!$D$13,('DATOS REFERENCIALES'!$E$13*D40))</f>
        <v>80.666659999999993</v>
      </c>
      <c r="AF40" s="275"/>
      <c r="AG40" s="80">
        <f>IF(D40&gt;'DATOS REFERENCIALES'!$I$17,'DATOS REFERENCIALES'!$D$17,('DATOS REFERENCIALES'!$E$17*D40))</f>
        <v>75</v>
      </c>
      <c r="AH40" s="80">
        <f>IF(D40&gt;'DATOS REFERENCIALES'!$I$12,'DATOS REFERENCIALES'!$D$12,'DATOS REFERENCIALES'!$E$12*D40)</f>
        <v>14</v>
      </c>
      <c r="AI40" s="80">
        <f t="shared" si="10"/>
        <v>1027.1666599999999</v>
      </c>
      <c r="AJ40" s="582">
        <f>IF(D40&gt;'DATOS REFERENCIALES'!$I$16,'DATOS REFERENCIALES'!$D$16,'DATOS REFERENCIALES'!$E$16*D40)</f>
        <v>51.47</v>
      </c>
      <c r="AK40" s="582">
        <f t="shared" si="12"/>
        <v>12.09545</v>
      </c>
      <c r="AL40" s="582">
        <f t="shared" si="13"/>
        <v>39.374549999999999</v>
      </c>
      <c r="AM40" s="582">
        <f t="shared" si="14"/>
        <v>1066.5412099999999</v>
      </c>
      <c r="AN40" s="17"/>
      <c r="AO40" s="17"/>
      <c r="AS40" s="8"/>
    </row>
    <row r="41" spans="1:45" s="1" customFormat="1" ht="21.75" customHeight="1" x14ac:dyDescent="0.2">
      <c r="A41" s="35">
        <v>6508</v>
      </c>
      <c r="B41" s="233" t="s">
        <v>58</v>
      </c>
      <c r="C41" s="34">
        <v>0</v>
      </c>
      <c r="D41" s="23">
        <v>1</v>
      </c>
      <c r="E41" s="178"/>
      <c r="F41" s="56"/>
      <c r="G41" s="63">
        <v>56</v>
      </c>
      <c r="H41" s="48">
        <f t="shared" si="0"/>
        <v>56</v>
      </c>
      <c r="I41" s="48"/>
      <c r="J41" s="48"/>
      <c r="K41" s="90">
        <f>(H41*'DATOS REFERENCIALES'!$C$4)*D41</f>
        <v>359.85599999999999</v>
      </c>
      <c r="L41" s="90"/>
      <c r="M41" s="90"/>
      <c r="N41" s="80">
        <f>LOOKUP(C41,'TABLA ANTIG.'!$A$4:$A$39,'TABLA ANTIG.'!$B$4:$B$39)*(K41)</f>
        <v>0</v>
      </c>
      <c r="O41" s="99">
        <f t="shared" si="1"/>
        <v>35.985599999999998</v>
      </c>
      <c r="P41" s="90">
        <f>IF(D41&gt;48,'DATOS REFERENCIALES'!$D$8+('DATOS REFERENCIALES'!$F$8*10),IF(D41&lt;39,'DATOS REFERENCIALES'!$E$8*D41,((D41-'DATOS REFERENCIALES'!$I$8)*'DATOS REFERENCIALES'!$F$8)+'DATOS REFERENCIALES'!$D$8))</f>
        <v>225</v>
      </c>
      <c r="Q41" s="131">
        <f>LOOKUP(C41,'TABLA ANTIG.'!$A$4:$A$39,'TABLA ANTIG.'!$B$4:$B$39)*(P41)</f>
        <v>0</v>
      </c>
      <c r="R41" s="99">
        <f t="shared" si="2"/>
        <v>87.728399999999993</v>
      </c>
      <c r="S41" s="90">
        <f>IF(D41&gt;29.99,'DATOS REFERENCIALES'!$D$14,'DATOS REFERENCIALES'!$E$14*D41)</f>
        <v>0</v>
      </c>
      <c r="T41" s="160">
        <f t="shared" si="11"/>
        <v>708.56999999999994</v>
      </c>
      <c r="U41" s="80">
        <f t="shared" si="3"/>
        <v>77.942699999999988</v>
      </c>
      <c r="V41" s="80">
        <f t="shared" si="4"/>
        <v>21.257099999999998</v>
      </c>
      <c r="W41" s="80">
        <f t="shared" si="4"/>
        <v>21.257099999999998</v>
      </c>
      <c r="X41" s="80">
        <f t="shared" si="5"/>
        <v>14.171399999999998</v>
      </c>
      <c r="Y41" s="80">
        <f t="shared" si="6"/>
        <v>31.885649999999995</v>
      </c>
      <c r="Z41" s="27">
        <f t="shared" si="7"/>
        <v>166.51394999999997</v>
      </c>
      <c r="AA41" s="148">
        <f t="shared" si="8"/>
        <v>542.05604999999991</v>
      </c>
      <c r="AB41" s="148">
        <f>IF(D41&gt;38,'DATOS REFERENCIALES'!$D$10,'DATOS REFERENCIALES'!$E$10*D41)</f>
        <v>80</v>
      </c>
      <c r="AC41" s="80">
        <f>IF(D41&gt;41,IF((('DATOS REFERENCIALES'!$D$9)-((T41-S41)-(Z41-S41*0.235)+(AB41)))&lt;0,0,((('DATOS REFERENCIALES'!$D$9)-((T41-S41)-(Z41-S41*0.235)+(AB41))))),IF((('DATOS REFERENCIALES'!$E$9*D41)-(((T41-S41)-(Z41-S41*0.235)+(AB41))))&lt;0,0,('DATOS REFERENCIALES'!$E$9*D41)-((T41-S41)-(Z41-S41*0.235)+(AB41))))</f>
        <v>235.44395000000009</v>
      </c>
      <c r="AD41" s="131">
        <f t="shared" si="9"/>
        <v>857.5</v>
      </c>
      <c r="AE41" s="92">
        <f>IF(D41&gt;30,'DATOS REFERENCIALES'!$D$13,('DATOS REFERENCIALES'!$E$13*D41))</f>
        <v>80.666659999999993</v>
      </c>
      <c r="AF41" s="275"/>
      <c r="AG41" s="80">
        <f>IF(D41&gt;'DATOS REFERENCIALES'!$I$17,'DATOS REFERENCIALES'!$D$17,('DATOS REFERENCIALES'!$E$17*D41))</f>
        <v>75</v>
      </c>
      <c r="AH41" s="80">
        <f>IF(D41&gt;'DATOS REFERENCIALES'!$I$12,'DATOS REFERENCIALES'!$D$12,'DATOS REFERENCIALES'!$E$12*D41)</f>
        <v>14</v>
      </c>
      <c r="AI41" s="80">
        <f t="shared" si="10"/>
        <v>1027.1666599999999</v>
      </c>
      <c r="AJ41" s="582">
        <f>IF(D41&gt;'DATOS REFERENCIALES'!$I$16,'DATOS REFERENCIALES'!$D$16,'DATOS REFERENCIALES'!$E$16*D41)</f>
        <v>51.47</v>
      </c>
      <c r="AK41" s="582">
        <f t="shared" si="12"/>
        <v>12.09545</v>
      </c>
      <c r="AL41" s="582">
        <f t="shared" si="13"/>
        <v>39.374549999999999</v>
      </c>
      <c r="AM41" s="582">
        <f t="shared" si="14"/>
        <v>1066.5412099999999</v>
      </c>
      <c r="AN41" s="17"/>
      <c r="AO41" s="17"/>
      <c r="AS41" s="8"/>
    </row>
    <row r="42" spans="1:45" s="1" customFormat="1" ht="21.75" customHeight="1" thickBot="1" x14ac:dyDescent="0.25">
      <c r="A42" s="57">
        <v>6536</v>
      </c>
      <c r="B42" s="234" t="s">
        <v>95</v>
      </c>
      <c r="C42" s="54">
        <v>0</v>
      </c>
      <c r="D42" s="24">
        <v>1</v>
      </c>
      <c r="E42" s="180"/>
      <c r="F42" s="54"/>
      <c r="G42" s="66">
        <v>56</v>
      </c>
      <c r="H42" s="111">
        <f t="shared" si="0"/>
        <v>56</v>
      </c>
      <c r="I42" s="111"/>
      <c r="J42" s="111"/>
      <c r="K42" s="91">
        <f>(H42*'DATOS REFERENCIALES'!$C$4)*D42</f>
        <v>359.85599999999999</v>
      </c>
      <c r="L42" s="91"/>
      <c r="M42" s="91"/>
      <c r="N42" s="81">
        <f>LOOKUP(C42,'TABLA ANTIG.'!$A$4:$A$39,'TABLA ANTIG.'!$B$4:$B$39)*(K42)</f>
        <v>0</v>
      </c>
      <c r="O42" s="100">
        <f t="shared" si="1"/>
        <v>35.985599999999998</v>
      </c>
      <c r="P42" s="91">
        <f>IF(D42&gt;48,'DATOS REFERENCIALES'!$D$8+('DATOS REFERENCIALES'!$F$8*10),IF(D42&lt;39,'DATOS REFERENCIALES'!$E$8*D42,((D42-'DATOS REFERENCIALES'!$I$8)*'DATOS REFERENCIALES'!$F$8)+'DATOS REFERENCIALES'!$D$8))</f>
        <v>225</v>
      </c>
      <c r="Q42" s="132">
        <f>LOOKUP(C42,'TABLA ANTIG.'!$A$4:$A$39,'TABLA ANTIG.'!$B$4:$B$39)*(P42)</f>
        <v>0</v>
      </c>
      <c r="R42" s="100">
        <f t="shared" si="2"/>
        <v>87.728399999999993</v>
      </c>
      <c r="S42" s="91">
        <f>IF(D42&gt;29.99,'DATOS REFERENCIALES'!$D$14,'DATOS REFERENCIALES'!$E$14*D42)</f>
        <v>0</v>
      </c>
      <c r="T42" s="207">
        <f t="shared" si="11"/>
        <v>708.56999999999994</v>
      </c>
      <c r="U42" s="81">
        <f t="shared" si="3"/>
        <v>77.942699999999988</v>
      </c>
      <c r="V42" s="81">
        <f t="shared" si="4"/>
        <v>21.257099999999998</v>
      </c>
      <c r="W42" s="81">
        <f t="shared" si="4"/>
        <v>21.257099999999998</v>
      </c>
      <c r="X42" s="81">
        <f t="shared" si="5"/>
        <v>14.171399999999998</v>
      </c>
      <c r="Y42" s="81">
        <f t="shared" si="6"/>
        <v>31.885649999999995</v>
      </c>
      <c r="Z42" s="28">
        <f t="shared" si="7"/>
        <v>166.51394999999997</v>
      </c>
      <c r="AA42" s="151">
        <f t="shared" si="8"/>
        <v>542.05604999999991</v>
      </c>
      <c r="AB42" s="557">
        <f>IF(D42&gt;38,'DATOS REFERENCIALES'!$D$10,'DATOS REFERENCIALES'!$E$10*D42)</f>
        <v>80</v>
      </c>
      <c r="AC42" s="81">
        <f>IF(D42&gt;41,IF((('DATOS REFERENCIALES'!$D$9)-((T42-S42)-(Z42-S42*0.235)+(AB42)))&lt;0,0,((('DATOS REFERENCIALES'!$D$9)-((T42-S42)-(Z42-S42*0.235)+(AB42))))),IF((('DATOS REFERENCIALES'!$E$9*D42)-(((T42-S42)-(Z42-S42*0.235)+(AB42))))&lt;0,0,('DATOS REFERENCIALES'!$E$9*D42)-((T42-S42)-(Z42-S42*0.235)+(AB42))))</f>
        <v>235.44395000000009</v>
      </c>
      <c r="AD42" s="171">
        <f t="shared" si="9"/>
        <v>857.5</v>
      </c>
      <c r="AE42" s="93">
        <f>IF(D42&gt;30,'DATOS REFERENCIALES'!$D$13,('DATOS REFERENCIALES'!$E$13*D42))</f>
        <v>80.666659999999993</v>
      </c>
      <c r="AF42" s="273"/>
      <c r="AG42" s="81">
        <f>IF(D42&gt;'DATOS REFERENCIALES'!$I$17,'DATOS REFERENCIALES'!$D$17,('DATOS REFERENCIALES'!$E$17*D42))</f>
        <v>75</v>
      </c>
      <c r="AH42" s="81">
        <f>IF(D42&gt;'DATOS REFERENCIALES'!$I$12,'DATOS REFERENCIALES'!$D$12,'DATOS REFERENCIALES'!$E$12*D42)</f>
        <v>14</v>
      </c>
      <c r="AI42" s="81">
        <f t="shared" si="10"/>
        <v>1027.1666599999999</v>
      </c>
      <c r="AJ42" s="573">
        <f>IF(D42&gt;'DATOS REFERENCIALES'!$I$16,'DATOS REFERENCIALES'!$D$16,'DATOS REFERENCIALES'!$E$16*D42)</f>
        <v>51.47</v>
      </c>
      <c r="AK42" s="573">
        <f t="shared" si="12"/>
        <v>12.09545</v>
      </c>
      <c r="AL42" s="573">
        <f t="shared" si="13"/>
        <v>39.374549999999999</v>
      </c>
      <c r="AM42" s="573">
        <f t="shared" si="14"/>
        <v>1066.5412099999999</v>
      </c>
      <c r="AN42" s="17"/>
      <c r="AO42" s="17"/>
      <c r="AS42" s="8"/>
    </row>
    <row r="43" spans="1:45" s="1" customFormat="1" ht="18.75" customHeight="1" x14ac:dyDescent="0.2">
      <c r="A43" s="11" t="s">
        <v>49</v>
      </c>
      <c r="B43" s="4" t="s">
        <v>60</v>
      </c>
      <c r="C43" s="15"/>
      <c r="D43" s="15"/>
      <c r="E43" s="15"/>
      <c r="F43" s="15"/>
      <c r="G43" s="18"/>
      <c r="H43" s="18"/>
      <c r="I43" s="18"/>
      <c r="J43" s="18"/>
      <c r="K43" s="19"/>
      <c r="L43" s="19"/>
      <c r="M43" s="19"/>
      <c r="N43" s="20"/>
      <c r="O43" s="20"/>
      <c r="P43" s="19"/>
      <c r="Q43" s="19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13"/>
      <c r="AC43" s="20"/>
      <c r="AD43" s="13"/>
      <c r="AE43" s="13"/>
      <c r="AF43" s="13"/>
      <c r="AG43" s="13"/>
      <c r="AH43" s="13"/>
      <c r="AI43" s="13"/>
      <c r="AJ43" s="13"/>
      <c r="AK43" s="13"/>
      <c r="AL43" s="13"/>
      <c r="AM43" s="16"/>
      <c r="AN43" s="17"/>
      <c r="AO43" s="17"/>
      <c r="AS43" s="8"/>
    </row>
  </sheetData>
  <mergeCells count="70">
    <mergeCell ref="AI22:AI23"/>
    <mergeCell ref="AI11:AI12"/>
    <mergeCell ref="AI13:AI14"/>
    <mergeCell ref="AI15:AI16"/>
    <mergeCell ref="AI17:AI18"/>
    <mergeCell ref="AI19:AI20"/>
    <mergeCell ref="Q9:Q10"/>
    <mergeCell ref="O9:O10"/>
    <mergeCell ref="AF9:AF10"/>
    <mergeCell ref="S9:S10"/>
    <mergeCell ref="A9:A10"/>
    <mergeCell ref="P9:P10"/>
    <mergeCell ref="N9:N10"/>
    <mergeCell ref="B9:B10"/>
    <mergeCell ref="R9:R10"/>
    <mergeCell ref="E9:E10"/>
    <mergeCell ref="F9:F10"/>
    <mergeCell ref="G9:G10"/>
    <mergeCell ref="H9:H10"/>
    <mergeCell ref="C9:C10"/>
    <mergeCell ref="J9:J10"/>
    <mergeCell ref="I9:I10"/>
    <mergeCell ref="K3:AA5"/>
    <mergeCell ref="U9:Y9"/>
    <mergeCell ref="AB9:AB10"/>
    <mergeCell ref="AC9:AC10"/>
    <mergeCell ref="L9:L10"/>
    <mergeCell ref="M9:M10"/>
    <mergeCell ref="A6:AI6"/>
    <mergeCell ref="K9:K10"/>
    <mergeCell ref="AG9:AG10"/>
    <mergeCell ref="Z9:Z10"/>
    <mergeCell ref="A7:AI7"/>
    <mergeCell ref="D9:D10"/>
    <mergeCell ref="T9:T10"/>
    <mergeCell ref="A8:D8"/>
    <mergeCell ref="AA9:AA10"/>
    <mergeCell ref="AE9:AE10"/>
    <mergeCell ref="AC8:AI8"/>
    <mergeCell ref="AI9:AI10"/>
    <mergeCell ref="AH9:AH10"/>
    <mergeCell ref="AJ9:AJ10"/>
    <mergeCell ref="AK9:AK10"/>
    <mergeCell ref="AD9:AD10"/>
    <mergeCell ref="AL9:AL10"/>
    <mergeCell ref="AM9:AM10"/>
    <mergeCell ref="AJ11:AJ12"/>
    <mergeCell ref="AK11:AK12"/>
    <mergeCell ref="AL11:AL12"/>
    <mergeCell ref="AM11:AM12"/>
    <mergeCell ref="AJ13:AJ14"/>
    <mergeCell ref="AJ15:AJ16"/>
    <mergeCell ref="AK15:AK16"/>
    <mergeCell ref="AL15:AL16"/>
    <mergeCell ref="AM15:AM16"/>
    <mergeCell ref="AM13:AM14"/>
    <mergeCell ref="AL13:AL14"/>
    <mergeCell ref="AK13:AK14"/>
    <mergeCell ref="AJ22:AJ23"/>
    <mergeCell ref="AK22:AK23"/>
    <mergeCell ref="AL22:AL23"/>
    <mergeCell ref="AM22:AM23"/>
    <mergeCell ref="AJ17:AJ18"/>
    <mergeCell ref="AK17:AK18"/>
    <mergeCell ref="AL17:AL18"/>
    <mergeCell ref="AM17:AM18"/>
    <mergeCell ref="AJ19:AJ20"/>
    <mergeCell ref="AK19:AK20"/>
    <mergeCell ref="AL19:AL20"/>
    <mergeCell ref="AM19:AM20"/>
  </mergeCell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'DATOS REFERENCIALES'!$C$38:$C$40</xm:f>
          </x14:formula1>
          <xm:sqref>J18</xm:sqref>
        </x14:dataValidation>
        <x14:dataValidation type="list" allowBlank="1" showInputMessage="1" showErrorMessage="1">
          <x14:formula1>
            <xm:f>'DATOS REFERENCIALES'!$C$38:$C$40</xm:f>
          </x14:formula1>
          <xm:sqref>J12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S66"/>
  <sheetViews>
    <sheetView zoomScale="66" zoomScaleNormal="66" workbookViewId="0">
      <selection activeCell="A6" sqref="A6:AI6"/>
    </sheetView>
  </sheetViews>
  <sheetFormatPr baseColWidth="10" defaultRowHeight="12.75" x14ac:dyDescent="0.2"/>
  <cols>
    <col min="1" max="1" width="8.7109375" bestFit="1" customWidth="1"/>
    <col min="2" max="2" width="39.5703125" bestFit="1" customWidth="1"/>
    <col min="4" max="4" width="10.140625" customWidth="1"/>
    <col min="5" max="5" width="13.140625" hidden="1" customWidth="1"/>
    <col min="6" max="7" width="0" hidden="1" customWidth="1"/>
    <col min="9" max="10" width="14" customWidth="1"/>
    <col min="11" max="11" width="15.28515625" customWidth="1"/>
    <col min="12" max="12" width="14.7109375" customWidth="1"/>
    <col min="13" max="13" width="15.28515625" customWidth="1"/>
    <col min="14" max="14" width="17.42578125" customWidth="1"/>
    <col min="15" max="15" width="18.5703125" customWidth="1"/>
    <col min="16" max="16" width="15.7109375" customWidth="1"/>
    <col min="17" max="17" width="16.5703125" customWidth="1"/>
    <col min="18" max="18" width="11.42578125" customWidth="1"/>
    <col min="19" max="19" width="14.7109375" hidden="1" customWidth="1"/>
    <col min="20" max="20" width="15" customWidth="1"/>
    <col min="21" max="21" width="14" customWidth="1"/>
    <col min="22" max="22" width="14.140625" customWidth="1"/>
    <col min="23" max="23" width="13.28515625" customWidth="1"/>
    <col min="24" max="24" width="11.42578125" customWidth="1"/>
    <col min="25" max="25" width="13.5703125" customWidth="1"/>
    <col min="26" max="26" width="14" customWidth="1"/>
    <col min="27" max="27" width="15.7109375" customWidth="1"/>
    <col min="28" max="28" width="13" customWidth="1"/>
    <col min="29" max="29" width="15.28515625" customWidth="1"/>
    <col min="30" max="30" width="15.42578125" customWidth="1"/>
    <col min="31" max="31" width="14.42578125" customWidth="1"/>
    <col min="32" max="32" width="16.42578125" hidden="1" customWidth="1"/>
    <col min="33" max="34" width="14.42578125" customWidth="1"/>
    <col min="35" max="35" width="15.5703125" customWidth="1"/>
    <col min="36" max="36" width="13.5703125" customWidth="1"/>
    <col min="38" max="38" width="13.85546875" customWidth="1"/>
    <col min="39" max="39" width="16" customWidth="1"/>
  </cols>
  <sheetData>
    <row r="1" spans="1:45" s="1" customFormat="1" x14ac:dyDescent="0.2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</row>
    <row r="2" spans="1:45" s="1" customFormat="1" x14ac:dyDescent="0.2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</row>
    <row r="3" spans="1:45" s="1" customFormat="1" ht="12.75" customHeight="1" x14ac:dyDescent="0.2">
      <c r="A3" s="10"/>
      <c r="C3" s="13"/>
      <c r="D3" s="13"/>
      <c r="E3" s="13"/>
      <c r="F3" s="13"/>
      <c r="G3" s="13"/>
      <c r="H3" s="13"/>
      <c r="I3" s="13"/>
      <c r="J3" s="13"/>
      <c r="K3" s="664" t="s">
        <v>82</v>
      </c>
      <c r="L3" s="664"/>
      <c r="M3" s="664"/>
      <c r="N3" s="664"/>
      <c r="O3" s="664"/>
      <c r="P3" s="664"/>
      <c r="Q3" s="664"/>
      <c r="R3" s="664"/>
      <c r="S3" s="664"/>
      <c r="T3" s="664"/>
      <c r="U3" s="664"/>
      <c r="V3" s="664"/>
      <c r="W3" s="664"/>
      <c r="X3" s="664"/>
      <c r="Y3" s="664"/>
      <c r="Z3" s="664"/>
      <c r="AA3" s="664"/>
      <c r="AB3" s="13"/>
      <c r="AC3" s="13"/>
      <c r="AD3" s="13"/>
      <c r="AE3" s="13"/>
      <c r="AF3" s="13"/>
      <c r="AG3" s="13"/>
      <c r="AH3" s="13"/>
      <c r="AI3" s="13"/>
      <c r="AJ3" s="13"/>
      <c r="AK3" s="13"/>
    </row>
    <row r="4" spans="1:45" s="1" customFormat="1" ht="12.75" customHeight="1" x14ac:dyDescent="0.2">
      <c r="A4" s="10"/>
      <c r="C4" s="13"/>
      <c r="D4" s="13"/>
      <c r="E4" s="13"/>
      <c r="F4" s="13"/>
      <c r="G4" s="13"/>
      <c r="H4" s="13"/>
      <c r="I4" s="13"/>
      <c r="J4" s="13"/>
      <c r="K4" s="664"/>
      <c r="L4" s="664"/>
      <c r="M4" s="664"/>
      <c r="N4" s="664"/>
      <c r="O4" s="664"/>
      <c r="P4" s="664"/>
      <c r="Q4" s="664"/>
      <c r="R4" s="664"/>
      <c r="S4" s="664"/>
      <c r="T4" s="664"/>
      <c r="U4" s="664"/>
      <c r="V4" s="664"/>
      <c r="W4" s="664"/>
      <c r="X4" s="664"/>
      <c r="Y4" s="664"/>
      <c r="Z4" s="664"/>
      <c r="AA4" s="664"/>
      <c r="AB4" s="13"/>
      <c r="AC4" s="13"/>
      <c r="AD4" s="13"/>
      <c r="AE4" s="13"/>
      <c r="AF4" s="13"/>
      <c r="AG4" s="13"/>
      <c r="AH4" s="13"/>
      <c r="AI4" s="13"/>
      <c r="AJ4" s="13"/>
      <c r="AK4" s="13"/>
    </row>
    <row r="5" spans="1:45" s="1" customFormat="1" ht="12.75" customHeight="1" x14ac:dyDescent="0.2">
      <c r="A5" s="10"/>
      <c r="C5" s="13"/>
      <c r="D5" s="13"/>
      <c r="E5" s="13"/>
      <c r="F5" s="13"/>
      <c r="G5" s="13"/>
      <c r="H5" s="13"/>
      <c r="I5" s="13"/>
      <c r="J5" s="13"/>
      <c r="K5" s="664"/>
      <c r="L5" s="664"/>
      <c r="M5" s="664"/>
      <c r="N5" s="664"/>
      <c r="O5" s="664"/>
      <c r="P5" s="664"/>
      <c r="Q5" s="664"/>
      <c r="R5" s="664"/>
      <c r="S5" s="664"/>
      <c r="T5" s="664"/>
      <c r="U5" s="664"/>
      <c r="V5" s="664"/>
      <c r="W5" s="664"/>
      <c r="X5" s="664"/>
      <c r="Y5" s="664"/>
      <c r="Z5" s="664"/>
      <c r="AA5" s="664"/>
      <c r="AB5" s="13"/>
      <c r="AC5" s="13"/>
      <c r="AD5" s="13"/>
      <c r="AE5" s="13"/>
      <c r="AF5" s="13"/>
      <c r="AG5" s="13"/>
      <c r="AH5" s="13"/>
      <c r="AI5" s="13"/>
      <c r="AJ5" s="13"/>
      <c r="AK5" s="13"/>
    </row>
    <row r="6" spans="1:45" s="1" customFormat="1" ht="27.75" x14ac:dyDescent="0.4">
      <c r="A6" s="659" t="s">
        <v>200</v>
      </c>
      <c r="B6" s="659"/>
      <c r="C6" s="659"/>
      <c r="D6" s="659"/>
      <c r="E6" s="659"/>
      <c r="F6" s="659"/>
      <c r="G6" s="659"/>
      <c r="H6" s="659"/>
      <c r="I6" s="659"/>
      <c r="J6" s="659"/>
      <c r="K6" s="659"/>
      <c r="L6" s="659"/>
      <c r="M6" s="659"/>
      <c r="N6" s="659"/>
      <c r="O6" s="659"/>
      <c r="P6" s="659"/>
      <c r="Q6" s="659"/>
      <c r="R6" s="659"/>
      <c r="S6" s="659"/>
      <c r="T6" s="659"/>
      <c r="U6" s="659"/>
      <c r="V6" s="659"/>
      <c r="W6" s="659"/>
      <c r="X6" s="659"/>
      <c r="Y6" s="659"/>
      <c r="Z6" s="659"/>
      <c r="AA6" s="659"/>
      <c r="AB6" s="659"/>
      <c r="AC6" s="659"/>
      <c r="AD6" s="659"/>
      <c r="AE6" s="659"/>
      <c r="AF6" s="659"/>
      <c r="AG6" s="659"/>
      <c r="AH6" s="659"/>
      <c r="AI6" s="659"/>
      <c r="AJ6" s="13"/>
      <c r="AK6" s="13"/>
    </row>
    <row r="7" spans="1:45" s="1" customFormat="1" ht="18.75" thickBot="1" x14ac:dyDescent="0.3">
      <c r="A7" s="660" t="s">
        <v>83</v>
      </c>
      <c r="B7" s="661"/>
      <c r="C7" s="661"/>
      <c r="D7" s="661"/>
      <c r="E7" s="661"/>
      <c r="F7" s="661"/>
      <c r="G7" s="661"/>
      <c r="H7" s="661"/>
      <c r="I7" s="661"/>
      <c r="J7" s="661"/>
      <c r="K7" s="661"/>
      <c r="L7" s="661"/>
      <c r="M7" s="661"/>
      <c r="N7" s="661"/>
      <c r="O7" s="661"/>
      <c r="P7" s="661"/>
      <c r="Q7" s="661"/>
      <c r="R7" s="661"/>
      <c r="S7" s="661"/>
      <c r="T7" s="661"/>
      <c r="U7" s="661"/>
      <c r="V7" s="661"/>
      <c r="W7" s="661"/>
      <c r="X7" s="661"/>
      <c r="Y7" s="661"/>
      <c r="Z7" s="661"/>
      <c r="AA7" s="661"/>
      <c r="AB7" s="661"/>
      <c r="AC7" s="661"/>
      <c r="AD7" s="661"/>
      <c r="AE7" s="722"/>
      <c r="AF7" s="13"/>
      <c r="AG7" s="13"/>
      <c r="AH7" s="13"/>
      <c r="AI7" s="13"/>
      <c r="AJ7" s="13"/>
      <c r="AK7" s="13"/>
    </row>
    <row r="8" spans="1:45" ht="21" thickBot="1" x14ac:dyDescent="0.35">
      <c r="A8" s="723" t="s">
        <v>132</v>
      </c>
      <c r="B8" s="724"/>
      <c r="C8" s="724"/>
      <c r="D8" s="724"/>
      <c r="E8" s="724"/>
      <c r="F8" s="724"/>
      <c r="G8" s="724"/>
      <c r="H8" s="724"/>
      <c r="I8" s="724"/>
      <c r="J8" s="724"/>
      <c r="K8" s="724"/>
      <c r="L8" s="724"/>
      <c r="M8" s="724"/>
      <c r="N8" s="724"/>
      <c r="O8" s="724"/>
      <c r="P8" s="724"/>
      <c r="Q8" s="724"/>
      <c r="R8" s="724"/>
      <c r="S8" s="724"/>
      <c r="T8" s="724"/>
      <c r="U8" s="724"/>
      <c r="V8" s="724"/>
      <c r="W8" s="724"/>
      <c r="X8" s="724"/>
      <c r="Y8" s="724"/>
      <c r="Z8" s="724"/>
      <c r="AA8" s="724"/>
      <c r="AB8" s="724"/>
      <c r="AC8" s="724"/>
      <c r="AD8" s="724"/>
      <c r="AE8" s="724"/>
      <c r="AF8" s="724"/>
      <c r="AG8" s="724"/>
      <c r="AH8" s="724"/>
      <c r="AI8" s="724"/>
      <c r="AK8" s="576">
        <v>0.23499999999999999</v>
      </c>
    </row>
    <row r="9" spans="1:45" s="2" customFormat="1" ht="26.25" customHeight="1" thickBot="1" x14ac:dyDescent="0.25">
      <c r="A9" s="687" t="s">
        <v>1</v>
      </c>
      <c r="B9" s="687" t="s">
        <v>0</v>
      </c>
      <c r="C9" s="629" t="s">
        <v>77</v>
      </c>
      <c r="D9" s="629" t="s">
        <v>119</v>
      </c>
      <c r="E9" s="629" t="s">
        <v>127</v>
      </c>
      <c r="F9" s="629" t="s">
        <v>113</v>
      </c>
      <c r="G9" s="629" t="s">
        <v>102</v>
      </c>
      <c r="H9" s="629" t="s">
        <v>79</v>
      </c>
      <c r="I9" s="629" t="s">
        <v>148</v>
      </c>
      <c r="J9" s="627" t="s">
        <v>147</v>
      </c>
      <c r="K9" s="627" t="s">
        <v>121</v>
      </c>
      <c r="L9" s="627" t="s">
        <v>146</v>
      </c>
      <c r="M9" s="627" t="s">
        <v>147</v>
      </c>
      <c r="N9" s="645" t="s">
        <v>85</v>
      </c>
      <c r="O9" s="645" t="s">
        <v>120</v>
      </c>
      <c r="P9" s="647" t="s">
        <v>86</v>
      </c>
      <c r="Q9" s="645" t="s">
        <v>101</v>
      </c>
      <c r="R9" s="645" t="s">
        <v>84</v>
      </c>
      <c r="S9" s="629" t="s">
        <v>192</v>
      </c>
      <c r="T9" s="645" t="s">
        <v>69</v>
      </c>
      <c r="U9" s="651" t="s">
        <v>59</v>
      </c>
      <c r="V9" s="651"/>
      <c r="W9" s="651"/>
      <c r="X9" s="651"/>
      <c r="Y9" s="651"/>
      <c r="Z9" s="629" t="s">
        <v>68</v>
      </c>
      <c r="AA9" s="629" t="s">
        <v>89</v>
      </c>
      <c r="AB9" s="629" t="s">
        <v>88</v>
      </c>
      <c r="AC9" s="629" t="s">
        <v>87</v>
      </c>
      <c r="AD9" s="629" t="s">
        <v>91</v>
      </c>
      <c r="AE9" s="629" t="s">
        <v>90</v>
      </c>
      <c r="AF9" s="629" t="s">
        <v>174</v>
      </c>
      <c r="AG9" s="629" t="s">
        <v>196</v>
      </c>
      <c r="AH9" s="673" t="s">
        <v>175</v>
      </c>
      <c r="AI9" s="629" t="s">
        <v>92</v>
      </c>
      <c r="AJ9" s="629" t="s">
        <v>192</v>
      </c>
      <c r="AK9" s="631" t="s">
        <v>68</v>
      </c>
      <c r="AL9" s="629" t="s">
        <v>194</v>
      </c>
      <c r="AM9" s="629" t="s">
        <v>195</v>
      </c>
      <c r="AN9" s="17"/>
      <c r="AO9" s="17"/>
    </row>
    <row r="10" spans="1:45" s="2" customFormat="1" ht="87.75" customHeight="1" thickBot="1" x14ac:dyDescent="0.25">
      <c r="A10" s="725"/>
      <c r="B10" s="725"/>
      <c r="C10" s="677"/>
      <c r="D10" s="677"/>
      <c r="E10" s="677"/>
      <c r="F10" s="677"/>
      <c r="G10" s="677"/>
      <c r="H10" s="677"/>
      <c r="I10" s="630"/>
      <c r="J10" s="628"/>
      <c r="K10" s="726"/>
      <c r="L10" s="726"/>
      <c r="M10" s="726"/>
      <c r="N10" s="680"/>
      <c r="O10" s="680"/>
      <c r="P10" s="648"/>
      <c r="Q10" s="680"/>
      <c r="R10" s="680"/>
      <c r="S10" s="677"/>
      <c r="T10" s="680"/>
      <c r="U10" s="98" t="s">
        <v>141</v>
      </c>
      <c r="V10" s="98" t="s">
        <v>61</v>
      </c>
      <c r="W10" s="98" t="s">
        <v>62</v>
      </c>
      <c r="X10" s="98" t="s">
        <v>63</v>
      </c>
      <c r="Y10" s="98" t="s">
        <v>64</v>
      </c>
      <c r="Z10" s="677"/>
      <c r="AA10" s="677"/>
      <c r="AB10" s="677"/>
      <c r="AC10" s="630"/>
      <c r="AD10" s="677"/>
      <c r="AE10" s="677"/>
      <c r="AF10" s="630"/>
      <c r="AG10" s="630"/>
      <c r="AH10" s="630"/>
      <c r="AI10" s="677"/>
      <c r="AJ10" s="630"/>
      <c r="AK10" s="632"/>
      <c r="AL10" s="630"/>
      <c r="AM10" s="630"/>
      <c r="AN10" s="17"/>
      <c r="AO10" s="17"/>
    </row>
    <row r="11" spans="1:45" s="1" customFormat="1" ht="21.75" customHeight="1" thickBot="1" x14ac:dyDescent="0.25">
      <c r="A11" s="237">
        <v>572</v>
      </c>
      <c r="B11" s="238" t="s">
        <v>81</v>
      </c>
      <c r="C11" s="36">
        <v>0</v>
      </c>
      <c r="D11" s="36"/>
      <c r="E11" s="36"/>
      <c r="F11" s="36"/>
      <c r="G11" s="61">
        <v>810</v>
      </c>
      <c r="H11" s="50">
        <f t="shared" ref="H11:H29" si="0">SUM(G11:G11)</f>
        <v>810</v>
      </c>
      <c r="I11" s="50"/>
      <c r="J11" s="50"/>
      <c r="K11" s="104">
        <f>H11*'DATOS REFERENCIALES'!$C$4</f>
        <v>5205.0600000000004</v>
      </c>
      <c r="L11" s="239"/>
      <c r="M11" s="239"/>
      <c r="N11" s="240">
        <f>LOOKUP(C11,'TABLA ANTIG.'!$A$4:$A$39,'TABLA ANTIG.'!$B$4:$B$39)*(K11)</f>
        <v>0</v>
      </c>
      <c r="O11" s="241">
        <f t="shared" ref="O11:O29" si="1">K11*0.1</f>
        <v>520.50600000000009</v>
      </c>
      <c r="P11" s="104">
        <f>'DATOS REFERENCIALES'!$C$8</f>
        <v>4275</v>
      </c>
      <c r="Q11" s="242">
        <f>LOOKUP(C11,'TABLA ANTIG.'!$A$4:$A$39,'TABLA ANTIG.'!$B$4:$B$39)*(P11)</f>
        <v>0</v>
      </c>
      <c r="R11" s="611">
        <v>0</v>
      </c>
      <c r="S11" s="108">
        <f>'DATOS REFERENCIALES'!$C$14</f>
        <v>0</v>
      </c>
      <c r="T11" s="203">
        <f>K11+N11+O11+P11+Q11+R11+S11</f>
        <v>10000.566000000001</v>
      </c>
      <c r="U11" s="243">
        <f t="shared" ref="U11:U29" si="2">$T11*11%</f>
        <v>1100.0622600000002</v>
      </c>
      <c r="V11" s="243">
        <f t="shared" ref="V11:W29" si="3">$T11*3%</f>
        <v>300.01697999999999</v>
      </c>
      <c r="W11" s="243">
        <f t="shared" si="3"/>
        <v>300.01697999999999</v>
      </c>
      <c r="X11" s="243">
        <f t="shared" ref="X11:X29" si="4">$T11*2%</f>
        <v>200.01132000000001</v>
      </c>
      <c r="Y11" s="243">
        <f t="shared" ref="Y11:Y29" si="5">$T11*4.5%</f>
        <v>450.02547000000004</v>
      </c>
      <c r="Z11" s="203">
        <f t="shared" ref="Z11:Z29" si="6">SUM(U11:Y11)</f>
        <v>2350.13301</v>
      </c>
      <c r="AA11" s="230">
        <f t="shared" ref="AA11:AA29" si="7">T11-Z11</f>
        <v>7650.4329900000012</v>
      </c>
      <c r="AB11" s="244">
        <f>'DATOS REFERENCIALES'!$C$10</f>
        <v>1520</v>
      </c>
      <c r="AC11" s="108">
        <f>IF((IF(H11&gt;1119,('DATOS REFERENCIALES'!$C$9-(T11-U11-V11-W11-X11-Y11+AB11-L11-L11*0.235-(S11-S11*0.235))),(('DATOS REFERENCIALES'!$C$9/1120)*H11)-(K11+N11+O11+P11+Q11+R11-U11-V11-W11-X11-Y11+AB11-(L11-L11*0.235)-(S11*0.235))))&lt;0,0,IF(H11&gt;1119,(('DATOS REFERENCIALES'!$C$9)-(T11-U11-V11-W11-X11-Y11+AB11-(L11-L11*0.235)-(S11-S11*0.235))),(('DATOS REFERENCIALES'!$C$9/1120)*H11)-(K11+N11+O11+P11+Q11+R11-U11-V11-W11-X11-Y11+AB11)))</f>
        <v>3232.6920100000007</v>
      </c>
      <c r="AD11" s="242">
        <f t="shared" ref="AD11:AD29" si="8">SUM(AA11:AC11)</f>
        <v>12403.125000000002</v>
      </c>
      <c r="AE11" s="187">
        <f>'DATOS REFERENCIALES'!$C$13</f>
        <v>1210</v>
      </c>
      <c r="AF11" s="276"/>
      <c r="AG11" s="242">
        <f>IF($H11&gt;1119,'DATOS REFERENCIALES'!C17,'DATOS REFERENCIALES'!C17/1120*$H11)</f>
        <v>1084.8214285714284</v>
      </c>
      <c r="AH11" s="197">
        <f>'DATOS REFERENCIALES'!$C$12</f>
        <v>210</v>
      </c>
      <c r="AI11" s="197">
        <f>SUM(AD11:AH11)</f>
        <v>14907.946428571431</v>
      </c>
      <c r="AJ11" s="594">
        <f>'DATOS REFERENCIALES'!C16</f>
        <v>772</v>
      </c>
      <c r="AK11" s="595">
        <f>AJ11*$AK$8</f>
        <v>181.42</v>
      </c>
      <c r="AL11" s="594">
        <f>AJ11-AK11</f>
        <v>590.58000000000004</v>
      </c>
      <c r="AM11" s="594">
        <f>AI11+AL11</f>
        <v>15498.526428571431</v>
      </c>
      <c r="AN11" s="17"/>
      <c r="AO11" s="17"/>
      <c r="AS11" s="8"/>
    </row>
    <row r="12" spans="1:45" s="1" customFormat="1" ht="21.75" customHeight="1" x14ac:dyDescent="0.2">
      <c r="A12" s="368">
        <v>603</v>
      </c>
      <c r="B12" s="411" t="s">
        <v>23</v>
      </c>
      <c r="C12" s="340">
        <v>0</v>
      </c>
      <c r="D12" s="340"/>
      <c r="E12" s="340"/>
      <c r="F12" s="340"/>
      <c r="G12" s="478">
        <v>3128</v>
      </c>
      <c r="H12" s="442">
        <f t="shared" si="0"/>
        <v>3128</v>
      </c>
      <c r="I12" s="442"/>
      <c r="J12" s="442"/>
      <c r="K12" s="345">
        <f>H12*'DATOS REFERENCIALES'!$C$4</f>
        <v>20100.528000000002</v>
      </c>
      <c r="L12" s="371"/>
      <c r="M12" s="371"/>
      <c r="N12" s="350">
        <f>LOOKUP(C12,'TABLA ANTIG.'!$A$4:$A$39,'TABLA ANTIG.'!$B$4:$B$39)*(K12)</f>
        <v>0</v>
      </c>
      <c r="O12" s="350">
        <f t="shared" si="1"/>
        <v>2010.0528000000004</v>
      </c>
      <c r="P12" s="345">
        <f>'DATOS REFERENCIALES'!$C$8</f>
        <v>4275</v>
      </c>
      <c r="Q12" s="351">
        <f>LOOKUP(C12,'TABLA ANTIG.'!$A$4:$A$39,'TABLA ANTIG.'!$B$4:$B$39)*(P12)</f>
        <v>0</v>
      </c>
      <c r="R12" s="347">
        <v>0</v>
      </c>
      <c r="S12" s="347">
        <f>'DATOS REFERENCIALES'!$C$14</f>
        <v>0</v>
      </c>
      <c r="T12" s="347">
        <f>K12+N12+O12+P12+Q12+R12+S12</f>
        <v>26385.580800000003</v>
      </c>
      <c r="U12" s="347">
        <f t="shared" si="2"/>
        <v>2902.4138880000005</v>
      </c>
      <c r="V12" s="347">
        <f t="shared" si="3"/>
        <v>791.56742400000007</v>
      </c>
      <c r="W12" s="347">
        <f t="shared" si="3"/>
        <v>791.56742400000007</v>
      </c>
      <c r="X12" s="347">
        <f t="shared" si="4"/>
        <v>527.71161600000005</v>
      </c>
      <c r="Y12" s="347">
        <f t="shared" si="5"/>
        <v>1187.351136</v>
      </c>
      <c r="Z12" s="347">
        <f t="shared" si="6"/>
        <v>6200.6114880000014</v>
      </c>
      <c r="AA12" s="350">
        <f t="shared" si="7"/>
        <v>20184.969312000001</v>
      </c>
      <c r="AB12" s="350">
        <f>'DATOS REFERENCIALES'!$C$10</f>
        <v>1520</v>
      </c>
      <c r="AC12" s="560">
        <f>IF((IF(H12&gt;1119,('DATOS REFERENCIALES'!$C$9-(T12-U12-V12-W12-X12-Y12+AB12-L12-L12*0.235-(S12-S12*0.235))),(('DATOS REFERENCIALES'!$C$9/1120)*H12)-(K12+N12+O12+P12+Q12+R12-U12-V12-W12-X12-Y12+AB12-(L12-L12*0.235)-(S12*0.235))))&lt;0,0,IF(H12&gt;1119,(('DATOS REFERENCIALES'!$C$9)-(T12-U12-V12-W12-X12-Y12+AB12-(L12-L12*0.235)-(S12-S12*0.235))),(('DATOS REFERENCIALES'!$C$9/1120)*H12)-(K12+N12+O12+P12+Q12+R12-U12-V12-W12-X12-Y12+AB12-(L12-L12*0.235)-(S12*0.235))))</f>
        <v>0</v>
      </c>
      <c r="AD12" s="351">
        <f t="shared" si="8"/>
        <v>21704.969312000001</v>
      </c>
      <c r="AE12" s="352">
        <f>'DATOS REFERENCIALES'!$C$13</f>
        <v>1210</v>
      </c>
      <c r="AF12" s="374"/>
      <c r="AG12" s="351">
        <f>IF($H12&gt;1119,'DATOS REFERENCIALES'!C17,'DATOS REFERENCIALES'!C17/1120*$H12)</f>
        <v>1500</v>
      </c>
      <c r="AH12" s="347">
        <f>'DATOS REFERENCIALES'!$C$12</f>
        <v>210</v>
      </c>
      <c r="AI12" s="633">
        <f>SUM(AD12:AH12)+SUM(AD13:AH13)</f>
        <v>26908.439544120003</v>
      </c>
      <c r="AJ12" s="710">
        <f>'DATOS REFERENCIALES'!C16</f>
        <v>772</v>
      </c>
      <c r="AK12" s="710">
        <f t="shared" ref="AK12:AK29" si="9">AJ12*$AK$8</f>
        <v>181.42</v>
      </c>
      <c r="AL12" s="710">
        <f t="shared" ref="AL12:AL29" si="10">AJ12-AK12</f>
        <v>590.58000000000004</v>
      </c>
      <c r="AM12" s="635">
        <f>AI12+AL12</f>
        <v>27499.019544120005</v>
      </c>
      <c r="AN12" s="17"/>
      <c r="AO12" s="17"/>
      <c r="AS12" s="8"/>
    </row>
    <row r="13" spans="1:45" s="1" customFormat="1" ht="24.75" customHeight="1" thickBot="1" x14ac:dyDescent="0.25">
      <c r="A13" s="375">
        <v>603</v>
      </c>
      <c r="B13" s="413" t="s">
        <v>23</v>
      </c>
      <c r="C13" s="355">
        <f>IF(C12&gt;0,C12,0)</f>
        <v>0</v>
      </c>
      <c r="D13" s="355"/>
      <c r="E13" s="355"/>
      <c r="F13" s="355"/>
      <c r="G13" s="479"/>
      <c r="H13" s="480"/>
      <c r="I13" s="355">
        <v>234.6</v>
      </c>
      <c r="J13" s="359" t="s">
        <v>150</v>
      </c>
      <c r="K13" s="360"/>
      <c r="L13" s="360">
        <f>I13*'DATOS REFERENCIALES'!$C$4</f>
        <v>1507.5396000000001</v>
      </c>
      <c r="M13" s="360">
        <f>IF(J13='DATOS REFERENCIALES'!$C$30,K12*'DATOS REFERENCIALES'!$D$30,IF(J13='DATOS REFERENCIALES'!$C$31,('DATOS REFERENCIALES'!$D$31*K12),IF(J13='DATOS REFERENCIALES'!$C$32,('DATOS REFERENCIALES'!$D$32*K12),IF(J13='DATOS REFERENCIALES'!$C$33,('DATOS REFERENCIALES'!$D$33*K12),IF(J13='DATOS REFERENCIALES'!$C$34,('DATOS REFERENCIALES'!$D$34*K12),IF(J13='DATOS REFERENCIALES'!$C$35,('DATOS REFERENCIALES'!$D$35*K12),IF(J13='DATOS REFERENCIALES'!$C$36,('DATOS REFERENCIALES'!$D$36*K12),IF(J13='DATOS REFERENCIALES'!$C$37,('DATOS REFERENCIALES'!$D$37*K12),0))))))))</f>
        <v>1206.0316800000001</v>
      </c>
      <c r="N13" s="362">
        <f>LOOKUP(C13,'TABLA ANTIG.'!$A$4:$A$39,'TABLA ANTIG.'!$B$4:$B$39)*(L13+M13)</f>
        <v>0</v>
      </c>
      <c r="O13" s="362">
        <f>(L13+M13)*0.1</f>
        <v>271.35712800000005</v>
      </c>
      <c r="P13" s="360"/>
      <c r="Q13" s="362"/>
      <c r="R13" s="362"/>
      <c r="S13" s="362"/>
      <c r="T13" s="362">
        <f>L13+M13+N13+O13+P13+Q13+R13</f>
        <v>2984.9284080000002</v>
      </c>
      <c r="U13" s="365">
        <f t="shared" si="2"/>
        <v>328.34212488000003</v>
      </c>
      <c r="V13" s="362">
        <f t="shared" si="3"/>
        <v>89.547852239999997</v>
      </c>
      <c r="W13" s="365">
        <f t="shared" si="3"/>
        <v>89.547852239999997</v>
      </c>
      <c r="X13" s="362">
        <f>$T13*2%</f>
        <v>59.698568160000008</v>
      </c>
      <c r="Y13" s="362">
        <f t="shared" si="5"/>
        <v>134.32177836</v>
      </c>
      <c r="Z13" s="362">
        <f t="shared" si="6"/>
        <v>701.45817588</v>
      </c>
      <c r="AA13" s="366">
        <f t="shared" si="7"/>
        <v>2283.4702321200002</v>
      </c>
      <c r="AB13" s="362"/>
      <c r="AC13" s="362"/>
      <c r="AD13" s="361">
        <f t="shared" si="8"/>
        <v>2283.4702321200002</v>
      </c>
      <c r="AE13" s="367"/>
      <c r="AF13" s="380"/>
      <c r="AG13" s="361"/>
      <c r="AH13" s="362"/>
      <c r="AI13" s="634"/>
      <c r="AJ13" s="711"/>
      <c r="AK13" s="711"/>
      <c r="AL13" s="711"/>
      <c r="AM13" s="636"/>
      <c r="AN13" s="17"/>
      <c r="AO13" s="17"/>
      <c r="AS13" s="8"/>
    </row>
    <row r="14" spans="1:45" s="1" customFormat="1" ht="21.75" customHeight="1" x14ac:dyDescent="0.2">
      <c r="A14" s="399">
        <v>1515</v>
      </c>
      <c r="B14" s="278" t="s">
        <v>24</v>
      </c>
      <c r="C14" s="279">
        <v>0</v>
      </c>
      <c r="D14" s="279"/>
      <c r="E14" s="279"/>
      <c r="F14" s="279"/>
      <c r="G14" s="481">
        <v>2669</v>
      </c>
      <c r="H14" s="467">
        <f t="shared" si="0"/>
        <v>2669</v>
      </c>
      <c r="I14" s="467"/>
      <c r="J14" s="467"/>
      <c r="K14" s="482">
        <f>H14*'DATOS REFERENCIALES'!$C$4</f>
        <v>17150.993999999999</v>
      </c>
      <c r="L14" s="483"/>
      <c r="M14" s="483"/>
      <c r="N14" s="484">
        <f>LOOKUP(C14,'TABLA ANTIG.'!$A$4:$A$39,'TABLA ANTIG.'!$B$4:$B$39)*(K14)</f>
        <v>0</v>
      </c>
      <c r="O14" s="484">
        <f t="shared" si="1"/>
        <v>1715.0994000000001</v>
      </c>
      <c r="P14" s="482">
        <f>'DATOS REFERENCIALES'!$C$8</f>
        <v>4275</v>
      </c>
      <c r="Q14" s="485">
        <f>LOOKUP(C14,'TABLA ANTIG.'!$A$4:$A$39,'TABLA ANTIG.'!$B$4:$B$39)*(P14)</f>
        <v>0</v>
      </c>
      <c r="R14" s="486">
        <v>0</v>
      </c>
      <c r="S14" s="283">
        <f>'DATOS REFERENCIALES'!$C$14</f>
        <v>0</v>
      </c>
      <c r="T14" s="486">
        <f>K14+N14+O14+P14+Q14+R14+S14</f>
        <v>23141.093399999998</v>
      </c>
      <c r="U14" s="486">
        <f t="shared" si="2"/>
        <v>2545.520274</v>
      </c>
      <c r="V14" s="486">
        <f t="shared" si="3"/>
        <v>694.23280199999988</v>
      </c>
      <c r="W14" s="486">
        <f t="shared" si="3"/>
        <v>694.23280199999988</v>
      </c>
      <c r="X14" s="486">
        <f t="shared" si="4"/>
        <v>462.82186799999999</v>
      </c>
      <c r="Y14" s="486">
        <f t="shared" si="5"/>
        <v>1041.3492029999998</v>
      </c>
      <c r="Z14" s="486">
        <f t="shared" si="6"/>
        <v>5438.1569490000002</v>
      </c>
      <c r="AA14" s="484">
        <f t="shared" si="7"/>
        <v>17702.936450999998</v>
      </c>
      <c r="AB14" s="484">
        <f>'DATOS REFERENCIALES'!$C$10</f>
        <v>1520</v>
      </c>
      <c r="AC14" s="283">
        <f>IF((IF(H14&gt;1119,('DATOS REFERENCIALES'!$C$9-(T14-U14-V14-W14-X14-Y14+AB14)),(('DATOS REFERENCIALES'!$C$9/1120)*H14)-(K14+N14+O14+P14+Q14+R14-U14-V14-W14-X14-Y14+AB14)))&lt;0,0,IF(H14&gt;1119,(('DATOS REFERENCIALES'!$C$9)-(T14-U14-V14-W14-X14-Y14+AB14)),(('DATOS REFERENCIALES'!$C$9/1120)*H14)-(K14+N14+O14+P14+Q14+R14-U14-V14-W14-X14-Y14+AB14)))</f>
        <v>0</v>
      </c>
      <c r="AD14" s="485">
        <f t="shared" si="8"/>
        <v>19222.936450999998</v>
      </c>
      <c r="AE14" s="537">
        <f>'DATOS REFERENCIALES'!$C$13</f>
        <v>1210</v>
      </c>
      <c r="AF14" s="404"/>
      <c r="AG14" s="285">
        <f>IF($H14&gt;1119,'DATOS REFERENCIALES'!C17,'DATOS REFERENCIALES'!C17/1120*$H14)</f>
        <v>1500</v>
      </c>
      <c r="AH14" s="486">
        <f>'DATOS REFERENCIALES'!$C$12</f>
        <v>210</v>
      </c>
      <c r="AI14" s="639">
        <f>SUM(AD14:AH14)+SUM(AD15:AH15)</f>
        <v>23225.405597219997</v>
      </c>
      <c r="AJ14" s="712">
        <f>'DATOS REFERENCIALES'!C16</f>
        <v>772</v>
      </c>
      <c r="AK14" s="712">
        <f t="shared" si="9"/>
        <v>181.42</v>
      </c>
      <c r="AL14" s="712">
        <f t="shared" si="10"/>
        <v>590.58000000000004</v>
      </c>
      <c r="AM14" s="641">
        <f>AI14+AL14</f>
        <v>23815.985597219998</v>
      </c>
      <c r="AN14" s="17"/>
      <c r="AO14" s="17"/>
      <c r="AS14" s="8"/>
    </row>
    <row r="15" spans="1:45" s="1" customFormat="1" ht="21.75" customHeight="1" thickBot="1" x14ac:dyDescent="0.25">
      <c r="A15" s="405">
        <v>1515</v>
      </c>
      <c r="B15" s="422" t="s">
        <v>24</v>
      </c>
      <c r="C15" s="291">
        <f>IF(C14&gt;0,C14,0)</f>
        <v>0</v>
      </c>
      <c r="D15" s="331"/>
      <c r="E15" s="331"/>
      <c r="F15" s="331"/>
      <c r="G15" s="487"/>
      <c r="H15" s="488"/>
      <c r="I15" s="331">
        <v>200.18</v>
      </c>
      <c r="J15" s="489"/>
      <c r="K15" s="335"/>
      <c r="L15" s="335">
        <f>I15*'DATOS REFERENCIALES'!$C$4</f>
        <v>1286.3566800000001</v>
      </c>
      <c r="M15" s="335"/>
      <c r="N15" s="302">
        <f>LOOKUP(C15,'TABLA ANTIG.'!$A$4:$A$39,'TABLA ANTIG.'!$B$4:$B$39)*(L15+M15)</f>
        <v>0</v>
      </c>
      <c r="O15" s="302">
        <f>(L15+M15)*0.1</f>
        <v>128.63566800000001</v>
      </c>
      <c r="P15" s="335"/>
      <c r="Q15" s="302"/>
      <c r="R15" s="302"/>
      <c r="S15" s="336"/>
      <c r="T15" s="302">
        <f>L15+M15+N15+O15+P15+Q15+R15</f>
        <v>1414.9923480000002</v>
      </c>
      <c r="U15" s="336">
        <f t="shared" si="2"/>
        <v>155.64915828000002</v>
      </c>
      <c r="V15" s="302">
        <f t="shared" si="3"/>
        <v>42.449770440000002</v>
      </c>
      <c r="W15" s="336">
        <f t="shared" si="3"/>
        <v>42.449770440000002</v>
      </c>
      <c r="X15" s="302">
        <f>$T15*2%</f>
        <v>28.299846960000004</v>
      </c>
      <c r="Y15" s="302">
        <f t="shared" si="5"/>
        <v>63.674655660000006</v>
      </c>
      <c r="Z15" s="302">
        <f t="shared" si="6"/>
        <v>332.52320178000002</v>
      </c>
      <c r="AA15" s="337">
        <f t="shared" si="7"/>
        <v>1082.4691462200003</v>
      </c>
      <c r="AB15" s="302"/>
      <c r="AC15" s="302"/>
      <c r="AD15" s="300">
        <f t="shared" si="8"/>
        <v>1082.4691462200003</v>
      </c>
      <c r="AE15" s="531"/>
      <c r="AF15" s="410"/>
      <c r="AG15" s="300"/>
      <c r="AH15" s="302"/>
      <c r="AI15" s="640"/>
      <c r="AJ15" s="713"/>
      <c r="AK15" s="718"/>
      <c r="AL15" s="718"/>
      <c r="AM15" s="676"/>
      <c r="AN15" s="17"/>
      <c r="AO15" s="17"/>
      <c r="AS15" s="8"/>
    </row>
    <row r="16" spans="1:45" s="1" customFormat="1" ht="21.75" customHeight="1" x14ac:dyDescent="0.2">
      <c r="A16" s="161">
        <v>1532</v>
      </c>
      <c r="B16" s="162" t="s">
        <v>25</v>
      </c>
      <c r="C16" s="120">
        <v>0</v>
      </c>
      <c r="D16" s="120"/>
      <c r="E16" s="120"/>
      <c r="F16" s="120"/>
      <c r="G16" s="245">
        <v>1924</v>
      </c>
      <c r="H16" s="246">
        <v>2070</v>
      </c>
      <c r="I16" s="246"/>
      <c r="J16" s="246"/>
      <c r="K16" s="90">
        <f>H16*'DATOS REFERENCIALES'!$C$4</f>
        <v>13301.82</v>
      </c>
      <c r="L16" s="188"/>
      <c r="M16" s="188"/>
      <c r="N16" s="112">
        <f>LOOKUP(C16,'TABLA ANTIG.'!$A$4:$A$39,'TABLA ANTIG.'!$B$4:$B$39)*(K16)</f>
        <v>0</v>
      </c>
      <c r="O16" s="99">
        <f t="shared" si="1"/>
        <v>1330.182</v>
      </c>
      <c r="P16" s="90">
        <f>'DATOS REFERENCIALES'!$C$8</f>
        <v>4275</v>
      </c>
      <c r="Q16" s="131">
        <f>LOOKUP(C16,'TABLA ANTIG.'!$A$4:$A$39,'TABLA ANTIG.'!$B$4:$B$39)*(P16)</f>
        <v>0</v>
      </c>
      <c r="R16" s="27">
        <v>0</v>
      </c>
      <c r="S16" s="197">
        <f>'DATOS REFERENCIALES'!$C$14</f>
        <v>0</v>
      </c>
      <c r="T16" s="558">
        <f t="shared" ref="T16:T29" si="11">K16+N16+O16+P16+Q16+R16+S16</f>
        <v>18907.002</v>
      </c>
      <c r="U16" s="27">
        <f t="shared" si="2"/>
        <v>2079.7702199999999</v>
      </c>
      <c r="V16" s="27">
        <f t="shared" si="3"/>
        <v>567.21006</v>
      </c>
      <c r="W16" s="27">
        <f t="shared" si="3"/>
        <v>567.21006</v>
      </c>
      <c r="X16" s="27">
        <f t="shared" si="4"/>
        <v>378.14004</v>
      </c>
      <c r="Y16" s="27">
        <f t="shared" si="5"/>
        <v>850.81508999999994</v>
      </c>
      <c r="Z16" s="27">
        <f t="shared" si="6"/>
        <v>4443.1454699999995</v>
      </c>
      <c r="AA16" s="148">
        <f t="shared" si="7"/>
        <v>14463.856530000001</v>
      </c>
      <c r="AB16" s="148">
        <f>'DATOS REFERENCIALES'!$C$10</f>
        <v>1520</v>
      </c>
      <c r="AC16" s="107">
        <f>IF((IF(H16&gt;1119,('DATOS REFERENCIALES'!$C$9-(T16-U16-V16-W16-X16-Y16+AB16-L16-L16*0.235-(S16-S16*0.235))),(('DATOS REFERENCIALES'!$C$9/1120)*H16)-(K16+N16+O16+P16+Q16+R16-U16-V16-W16-X16-Y16+AB16-(L16-L16*0.235)-(S16*0.235))))&lt;0,0,IF(H16&gt;1119,(('DATOS REFERENCIALES'!$C$9)-(T16-U16-V16-W16-X16-Y16+AB16-(L16-L16*0.235)-(S16-S16*0.235))),(('DATOS REFERENCIALES'!$C$9/1120)*H16)-(K16+N16+O16+P16+Q16+R16-U16-V16-W16-X16-Y16+AB16)))</f>
        <v>1166.1434699999973</v>
      </c>
      <c r="AD16" s="131">
        <f t="shared" si="8"/>
        <v>17150</v>
      </c>
      <c r="AE16" s="92">
        <f>'DATOS REFERENCIALES'!$C$13</f>
        <v>1210</v>
      </c>
      <c r="AF16" s="274"/>
      <c r="AG16" s="79">
        <f>IF($H16&gt;1119,'DATOS REFERENCIALES'!C17,'DATOS REFERENCIALES'!C17/1120*$H16)</f>
        <v>1500</v>
      </c>
      <c r="AH16" s="80">
        <f>'DATOS REFERENCIALES'!$C$12</f>
        <v>210</v>
      </c>
      <c r="AI16" s="148">
        <f t="shared" ref="AI16:AI29" si="12">SUM(AD16:AH16)</f>
        <v>20070</v>
      </c>
      <c r="AJ16" s="596">
        <f>'DATOS REFERENCIALES'!C16</f>
        <v>772</v>
      </c>
      <c r="AK16" s="597">
        <f t="shared" si="9"/>
        <v>181.42</v>
      </c>
      <c r="AL16" s="596">
        <f t="shared" si="10"/>
        <v>590.58000000000004</v>
      </c>
      <c r="AM16" s="591">
        <f t="shared" ref="AM16:AM29" si="13">AI16+AL16</f>
        <v>20660.580000000002</v>
      </c>
      <c r="AN16" s="17"/>
      <c r="AO16" s="17"/>
      <c r="AS16" s="8"/>
    </row>
    <row r="17" spans="1:45" s="1" customFormat="1" ht="21.75" customHeight="1" x14ac:dyDescent="0.2">
      <c r="A17" s="75">
        <v>1534</v>
      </c>
      <c r="B17" s="101" t="s">
        <v>26</v>
      </c>
      <c r="C17" s="35">
        <v>0</v>
      </c>
      <c r="D17" s="35"/>
      <c r="E17" s="35"/>
      <c r="F17" s="35"/>
      <c r="G17" s="62">
        <v>1451</v>
      </c>
      <c r="H17" s="49">
        <f t="shared" si="0"/>
        <v>1451</v>
      </c>
      <c r="I17" s="49"/>
      <c r="J17" s="49"/>
      <c r="K17" s="90">
        <f>H17*'DATOS REFERENCIALES'!$C$4</f>
        <v>9324.1260000000002</v>
      </c>
      <c r="L17" s="188"/>
      <c r="M17" s="188"/>
      <c r="N17" s="112">
        <f>LOOKUP(C17,'TABLA ANTIG.'!$A$4:$A$39,'TABLA ANTIG.'!$B$4:$B$39)*(K17)</f>
        <v>0</v>
      </c>
      <c r="O17" s="99">
        <f t="shared" si="1"/>
        <v>932.41260000000011</v>
      </c>
      <c r="P17" s="90">
        <f>'DATOS REFERENCIALES'!$C$8</f>
        <v>4275</v>
      </c>
      <c r="Q17" s="131">
        <f>LOOKUP(C17,'TABLA ANTIG.'!$A$4:$A$39,'TABLA ANTIG.'!$B$4:$B$39)*(P17)</f>
        <v>0</v>
      </c>
      <c r="R17" s="27">
        <v>0</v>
      </c>
      <c r="S17" s="80">
        <f>'DATOS REFERENCIALES'!$C$14</f>
        <v>0</v>
      </c>
      <c r="T17" s="160">
        <f t="shared" si="11"/>
        <v>14531.5386</v>
      </c>
      <c r="U17" s="27">
        <f t="shared" si="2"/>
        <v>1598.4692459999999</v>
      </c>
      <c r="V17" s="27">
        <f t="shared" si="3"/>
        <v>435.94615799999997</v>
      </c>
      <c r="W17" s="27">
        <f t="shared" si="3"/>
        <v>435.94615799999997</v>
      </c>
      <c r="X17" s="27">
        <f t="shared" si="4"/>
        <v>290.63077199999998</v>
      </c>
      <c r="Y17" s="27">
        <f t="shared" si="5"/>
        <v>653.91923699999995</v>
      </c>
      <c r="Z17" s="27">
        <f t="shared" si="6"/>
        <v>3414.9115710000001</v>
      </c>
      <c r="AA17" s="148">
        <f t="shared" si="7"/>
        <v>11116.627028999999</v>
      </c>
      <c r="AB17" s="148">
        <f>'DATOS REFERENCIALES'!$C$10</f>
        <v>1520</v>
      </c>
      <c r="AC17" s="107">
        <f>IF((IF(H17&gt;1119,('DATOS REFERENCIALES'!$C$9-(T17-U17-V17-W17-X17-Y17+AB17-L17-L17*0.235-(S17-S17*0.235))),(('DATOS REFERENCIALES'!$C$9/1120)*H17)-(K17+N17+O17+P17+Q17+R17-U17-V17-W17-X17-Y17+AB17-(L17-L17*0.235)-(S17*0.235))))&lt;0,0,IF(H17&gt;1119,(('DATOS REFERENCIALES'!$C$9)-(T17-U17-V17-W17-X17-Y17+AB17-(L17-L17*0.235)-(S17-S17*0.235))),(('DATOS REFERENCIALES'!$C$9/1120)*H17)-(K17+N17+O17+P17+Q17+R17-U17-V17-W17-X17-Y17+AB17)))</f>
        <v>4513.3729710000025</v>
      </c>
      <c r="AD17" s="131">
        <f t="shared" si="8"/>
        <v>17150</v>
      </c>
      <c r="AE17" s="92">
        <f>'DATOS REFERENCIALES'!$C$13</f>
        <v>1210</v>
      </c>
      <c r="AF17" s="275"/>
      <c r="AG17" s="80">
        <f>IF($H17&gt;1119,'DATOS REFERENCIALES'!C17,'DATOS REFERENCIALES'!C17/1120*$H17)</f>
        <v>1500</v>
      </c>
      <c r="AH17" s="80">
        <f>'DATOS REFERENCIALES'!$C$12</f>
        <v>210</v>
      </c>
      <c r="AI17" s="148">
        <f t="shared" si="12"/>
        <v>20070</v>
      </c>
      <c r="AJ17" s="598">
        <f>'DATOS REFERENCIALES'!$C$16</f>
        <v>772</v>
      </c>
      <c r="AK17" s="599">
        <f t="shared" si="9"/>
        <v>181.42</v>
      </c>
      <c r="AL17" s="598">
        <f t="shared" si="10"/>
        <v>590.58000000000004</v>
      </c>
      <c r="AM17" s="592">
        <f t="shared" si="13"/>
        <v>20660.580000000002</v>
      </c>
      <c r="AN17" s="17"/>
      <c r="AO17" s="17"/>
      <c r="AS17" s="8"/>
    </row>
    <row r="18" spans="1:45" s="1" customFormat="1" ht="21.75" customHeight="1" x14ac:dyDescent="0.2">
      <c r="A18" s="75">
        <v>1556</v>
      </c>
      <c r="B18" s="101" t="s">
        <v>27</v>
      </c>
      <c r="C18" s="35">
        <v>0</v>
      </c>
      <c r="D18" s="35"/>
      <c r="E18" s="35"/>
      <c r="F18" s="35"/>
      <c r="G18" s="62">
        <v>1120</v>
      </c>
      <c r="H18" s="49">
        <f t="shared" si="0"/>
        <v>1120</v>
      </c>
      <c r="I18" s="49"/>
      <c r="J18" s="49"/>
      <c r="K18" s="90">
        <f>H18*'DATOS REFERENCIALES'!$C$4</f>
        <v>7197.12</v>
      </c>
      <c r="L18" s="188"/>
      <c r="M18" s="188"/>
      <c r="N18" s="112">
        <f>LOOKUP(C18,'TABLA ANTIG.'!$A$4:$A$39,'TABLA ANTIG.'!$B$4:$B$39)*(K18)</f>
        <v>0</v>
      </c>
      <c r="O18" s="99">
        <f t="shared" si="1"/>
        <v>719.71199999999999</v>
      </c>
      <c r="P18" s="90">
        <f>'DATOS REFERENCIALES'!$C$8</f>
        <v>4275</v>
      </c>
      <c r="Q18" s="131">
        <f>LOOKUP(C18,'TABLA ANTIG.'!$A$4:$A$39,'TABLA ANTIG.'!$B$4:$B$39)*(P18)</f>
        <v>0</v>
      </c>
      <c r="R18" s="27">
        <v>0</v>
      </c>
      <c r="S18" s="80">
        <f>'DATOS REFERENCIALES'!$C$14</f>
        <v>0</v>
      </c>
      <c r="T18" s="160">
        <f t="shared" si="11"/>
        <v>12191.832</v>
      </c>
      <c r="U18" s="27">
        <f t="shared" si="2"/>
        <v>1341.1015199999999</v>
      </c>
      <c r="V18" s="27">
        <f t="shared" si="3"/>
        <v>365.75495999999998</v>
      </c>
      <c r="W18" s="27">
        <f t="shared" si="3"/>
        <v>365.75495999999998</v>
      </c>
      <c r="X18" s="27">
        <f t="shared" si="4"/>
        <v>243.83664000000002</v>
      </c>
      <c r="Y18" s="27">
        <f t="shared" si="5"/>
        <v>548.63243999999997</v>
      </c>
      <c r="Z18" s="27">
        <f t="shared" si="6"/>
        <v>2865.0805199999995</v>
      </c>
      <c r="AA18" s="148">
        <f t="shared" si="7"/>
        <v>9326.7514800000008</v>
      </c>
      <c r="AB18" s="148">
        <f>'DATOS REFERENCIALES'!$C$10</f>
        <v>1520</v>
      </c>
      <c r="AC18" s="107">
        <f>IF((IF(H18&gt;1119,('DATOS REFERENCIALES'!$C$9-(T18-U18-V18-W18-X18-Y18+AB18-L18-L18*0.235-(S18-S18*0.235))),(('DATOS REFERENCIALES'!$C$9/1120)*H18)-(K18+N18+O18+P18+Q18+R18-U18-V18-W18-X18-Y18+AB18-(L18-L18*0.235)-(S18*0.235))))&lt;0,0,IF(H18&gt;1119,(('DATOS REFERENCIALES'!$C$9)-(T18-U18-V18-W18-X18-Y18+AB18-(L18-L18*0.235)-(S18-S18*0.235))),(('DATOS REFERENCIALES'!$C$9/1120)*H18)-(K18+N18+O18+P18+Q18+R18-U18-V18-W18-X18-Y18+AB18)))</f>
        <v>6303.2485199999992</v>
      </c>
      <c r="AD18" s="131">
        <f t="shared" si="8"/>
        <v>17150</v>
      </c>
      <c r="AE18" s="92">
        <f>'DATOS REFERENCIALES'!$C$13</f>
        <v>1210</v>
      </c>
      <c r="AF18" s="275"/>
      <c r="AG18" s="80">
        <f>IF($H18&gt;1119,'DATOS REFERENCIALES'!C17,'DATOS REFERENCIALES'!C17/1120*$H18)</f>
        <v>1500</v>
      </c>
      <c r="AH18" s="80">
        <f>'DATOS REFERENCIALES'!$C$12</f>
        <v>210</v>
      </c>
      <c r="AI18" s="148">
        <f t="shared" si="12"/>
        <v>20070</v>
      </c>
      <c r="AJ18" s="598">
        <f>'DATOS REFERENCIALES'!$C$16</f>
        <v>772</v>
      </c>
      <c r="AK18" s="599">
        <f t="shared" si="9"/>
        <v>181.42</v>
      </c>
      <c r="AL18" s="598">
        <f t="shared" si="10"/>
        <v>590.58000000000004</v>
      </c>
      <c r="AM18" s="592">
        <f t="shared" si="13"/>
        <v>20660.580000000002</v>
      </c>
      <c r="AN18" s="17"/>
      <c r="AO18" s="17"/>
      <c r="AS18" s="8"/>
    </row>
    <row r="19" spans="1:45" s="1" customFormat="1" ht="21.75" customHeight="1" x14ac:dyDescent="0.2">
      <c r="A19" s="75">
        <v>1557</v>
      </c>
      <c r="B19" s="110" t="s">
        <v>75</v>
      </c>
      <c r="C19" s="35">
        <v>0</v>
      </c>
      <c r="D19" s="35"/>
      <c r="E19" s="35"/>
      <c r="F19" s="35"/>
      <c r="G19" s="62">
        <v>823</v>
      </c>
      <c r="H19" s="49">
        <f t="shared" si="0"/>
        <v>823</v>
      </c>
      <c r="I19" s="49"/>
      <c r="J19" s="49"/>
      <c r="K19" s="90">
        <f>H19*'DATOS REFERENCIALES'!$C$4</f>
        <v>5288.598</v>
      </c>
      <c r="L19" s="188"/>
      <c r="M19" s="188"/>
      <c r="N19" s="112">
        <f>LOOKUP(C19,'TABLA ANTIG.'!$A$4:$A$39,'TABLA ANTIG.'!$B$4:$B$39)*(K19)</f>
        <v>0</v>
      </c>
      <c r="O19" s="99">
        <f t="shared" si="1"/>
        <v>528.85980000000006</v>
      </c>
      <c r="P19" s="90">
        <f>'DATOS REFERENCIALES'!$C$8</f>
        <v>4275</v>
      </c>
      <c r="Q19" s="131">
        <f>LOOKUP(C19,'TABLA ANTIG.'!$A$4:$A$39,'TABLA ANTIG.'!$B$4:$B$39)*(P19)</f>
        <v>0</v>
      </c>
      <c r="R19" s="27">
        <v>0</v>
      </c>
      <c r="S19" s="80">
        <f>'DATOS REFERENCIALES'!$C$14</f>
        <v>0</v>
      </c>
      <c r="T19" s="160">
        <f t="shared" si="11"/>
        <v>10092.4578</v>
      </c>
      <c r="U19" s="27">
        <f t="shared" si="2"/>
        <v>1110.1703580000001</v>
      </c>
      <c r="V19" s="27">
        <f t="shared" si="3"/>
        <v>302.77373399999999</v>
      </c>
      <c r="W19" s="27">
        <f t="shared" si="3"/>
        <v>302.77373399999999</v>
      </c>
      <c r="X19" s="27">
        <f t="shared" si="4"/>
        <v>201.84915599999999</v>
      </c>
      <c r="Y19" s="27">
        <f t="shared" si="5"/>
        <v>454.16060099999999</v>
      </c>
      <c r="Z19" s="27">
        <f t="shared" si="6"/>
        <v>2371.7275829999999</v>
      </c>
      <c r="AA19" s="148">
        <f t="shared" si="7"/>
        <v>7720.7302170000003</v>
      </c>
      <c r="AB19" s="148">
        <f>'DATOS REFERENCIALES'!$C$10</f>
        <v>1520</v>
      </c>
      <c r="AC19" s="107">
        <f>IF((IF(H19&gt;1119,('DATOS REFERENCIALES'!$C$9-(T19-U19-V19-W19-X19-Y19+AB19-L19-L19*0.235-(S19-S19*0.235))),(('DATOS REFERENCIALES'!$C$9/1120)*H19)-(K19+N19+O19+P19+Q19+R19-U19-V19-W19-X19-Y19+AB19-(L19-L19*0.235)-(S19*0.235))))&lt;0,0,IF(H19&gt;1119,(('DATOS REFERENCIALES'!$C$9)-(T19-U19-V19-W19-X19-Y19+AB19-(L19-L19*0.235)-(S19-S19*0.235))),(('DATOS REFERENCIALES'!$C$9/1120)*H19)-(K19+N19+O19+P19+Q19+R19-U19-V19-W19-X19-Y19+AB19)))</f>
        <v>3361.4572829999997</v>
      </c>
      <c r="AD19" s="131">
        <f t="shared" si="8"/>
        <v>12602.1875</v>
      </c>
      <c r="AE19" s="92">
        <f>'DATOS REFERENCIALES'!$C$13</f>
        <v>1210</v>
      </c>
      <c r="AF19" s="275"/>
      <c r="AG19" s="80">
        <f>IF($H19&gt;1119,'DATOS REFERENCIALES'!C17,'DATOS REFERENCIALES'!C17/1120*$H19)</f>
        <v>1102.2321428571429</v>
      </c>
      <c r="AH19" s="80">
        <f>'DATOS REFERENCIALES'!$C$12</f>
        <v>210</v>
      </c>
      <c r="AI19" s="148">
        <f t="shared" si="12"/>
        <v>15124.419642857143</v>
      </c>
      <c r="AJ19" s="598">
        <f>'DATOS REFERENCIALES'!$C$16</f>
        <v>772</v>
      </c>
      <c r="AK19" s="599">
        <f t="shared" si="9"/>
        <v>181.42</v>
      </c>
      <c r="AL19" s="598">
        <f t="shared" si="10"/>
        <v>590.58000000000004</v>
      </c>
      <c r="AM19" s="592">
        <f t="shared" si="13"/>
        <v>15714.999642857143</v>
      </c>
      <c r="AN19" s="17"/>
      <c r="AO19" s="17"/>
      <c r="AS19" s="8"/>
    </row>
    <row r="20" spans="1:45" s="1" customFormat="1" ht="21.75" customHeight="1" x14ac:dyDescent="0.2">
      <c r="A20" s="75">
        <v>1559</v>
      </c>
      <c r="B20" s="101" t="s">
        <v>28</v>
      </c>
      <c r="C20" s="35">
        <v>0</v>
      </c>
      <c r="D20" s="35"/>
      <c r="E20" s="35"/>
      <c r="F20" s="35"/>
      <c r="G20" s="62">
        <v>1120</v>
      </c>
      <c r="H20" s="49">
        <f t="shared" si="0"/>
        <v>1120</v>
      </c>
      <c r="I20" s="49"/>
      <c r="J20" s="49"/>
      <c r="K20" s="90">
        <f>H20*'DATOS REFERENCIALES'!$C$4</f>
        <v>7197.12</v>
      </c>
      <c r="L20" s="188"/>
      <c r="M20" s="188"/>
      <c r="N20" s="112">
        <f>LOOKUP(C20,'TABLA ANTIG.'!$A$4:$A$39,'TABLA ANTIG.'!$B$4:$B$39)*(K20)</f>
        <v>0</v>
      </c>
      <c r="O20" s="99">
        <f t="shared" si="1"/>
        <v>719.71199999999999</v>
      </c>
      <c r="P20" s="90">
        <f>'DATOS REFERENCIALES'!$C$8</f>
        <v>4275</v>
      </c>
      <c r="Q20" s="131">
        <f>LOOKUP(C20,'TABLA ANTIG.'!$A$4:$A$39,'TABLA ANTIG.'!$B$4:$B$39)*(P20)</f>
        <v>0</v>
      </c>
      <c r="R20" s="27">
        <v>0</v>
      </c>
      <c r="S20" s="80">
        <f>'DATOS REFERENCIALES'!$C$14</f>
        <v>0</v>
      </c>
      <c r="T20" s="160">
        <f t="shared" si="11"/>
        <v>12191.832</v>
      </c>
      <c r="U20" s="27">
        <f t="shared" si="2"/>
        <v>1341.1015199999999</v>
      </c>
      <c r="V20" s="27">
        <f t="shared" si="3"/>
        <v>365.75495999999998</v>
      </c>
      <c r="W20" s="27">
        <f t="shared" si="3"/>
        <v>365.75495999999998</v>
      </c>
      <c r="X20" s="27">
        <f t="shared" si="4"/>
        <v>243.83664000000002</v>
      </c>
      <c r="Y20" s="27">
        <f t="shared" si="5"/>
        <v>548.63243999999997</v>
      </c>
      <c r="Z20" s="27">
        <f t="shared" si="6"/>
        <v>2865.0805199999995</v>
      </c>
      <c r="AA20" s="148">
        <f t="shared" si="7"/>
        <v>9326.7514800000008</v>
      </c>
      <c r="AB20" s="148">
        <f>'DATOS REFERENCIALES'!$C$10</f>
        <v>1520</v>
      </c>
      <c r="AC20" s="107">
        <f>IF((IF(H20&gt;1119,('DATOS REFERENCIALES'!$C$9-(T20-U20-V20-W20-X20-Y20+AB20-L20-L20*0.235-(S20-S20*0.235))),(('DATOS REFERENCIALES'!$C$9/1120)*H20)-(K20+N20+O20+P20+Q20+R20-U20-V20-W20-X20-Y20+AB20-(L20-L20*0.235)-(S20*0.235))))&lt;0,0,IF(H20&gt;1119,(('DATOS REFERENCIALES'!$C$9)-(T20-U20-V20-W20-X20-Y20+AB20-(L20-L20*0.235)-(S20-S20*0.235))),(('DATOS REFERENCIALES'!$C$9/1120)*H20)-(K20+N20+O20+P20+Q20+R20-U20-V20-W20-X20-Y20+AB20)))</f>
        <v>6303.2485199999992</v>
      </c>
      <c r="AD20" s="131">
        <f t="shared" si="8"/>
        <v>17150</v>
      </c>
      <c r="AE20" s="92">
        <f>'DATOS REFERENCIALES'!$C$13</f>
        <v>1210</v>
      </c>
      <c r="AF20" s="275"/>
      <c r="AG20" s="80">
        <f>IF($H20&gt;1119,'DATOS REFERENCIALES'!C17,'DATOS REFERENCIALES'!C17/1120*$H20)</f>
        <v>1500</v>
      </c>
      <c r="AH20" s="80">
        <f>'DATOS REFERENCIALES'!$C$12</f>
        <v>210</v>
      </c>
      <c r="AI20" s="148">
        <f t="shared" si="12"/>
        <v>20070</v>
      </c>
      <c r="AJ20" s="598">
        <f>'DATOS REFERENCIALES'!$C$16</f>
        <v>772</v>
      </c>
      <c r="AK20" s="599">
        <f t="shared" si="9"/>
        <v>181.42</v>
      </c>
      <c r="AL20" s="598">
        <f t="shared" si="10"/>
        <v>590.58000000000004</v>
      </c>
      <c r="AM20" s="592">
        <f t="shared" si="13"/>
        <v>20660.580000000002</v>
      </c>
      <c r="AN20" s="17"/>
      <c r="AO20" s="17"/>
      <c r="AS20" s="8"/>
    </row>
    <row r="21" spans="1:45" s="1" customFormat="1" ht="21.75" customHeight="1" x14ac:dyDescent="0.2">
      <c r="A21" s="75">
        <v>1566</v>
      </c>
      <c r="B21" s="101" t="s">
        <v>29</v>
      </c>
      <c r="C21" s="35">
        <v>0</v>
      </c>
      <c r="D21" s="35"/>
      <c r="E21" s="35"/>
      <c r="F21" s="35"/>
      <c r="G21" s="62">
        <v>1008</v>
      </c>
      <c r="H21" s="49">
        <f t="shared" si="0"/>
        <v>1008</v>
      </c>
      <c r="I21" s="49"/>
      <c r="J21" s="49"/>
      <c r="K21" s="90">
        <f>H21*'DATOS REFERENCIALES'!$C$4</f>
        <v>6477.4080000000004</v>
      </c>
      <c r="L21" s="188"/>
      <c r="M21" s="188"/>
      <c r="N21" s="112">
        <f>LOOKUP(C21,'TABLA ANTIG.'!$A$4:$A$39,'TABLA ANTIG.'!$B$4:$B$39)*(K21)</f>
        <v>0</v>
      </c>
      <c r="O21" s="99">
        <f t="shared" si="1"/>
        <v>647.74080000000004</v>
      </c>
      <c r="P21" s="90">
        <f>'DATOS REFERENCIALES'!$C$8</f>
        <v>4275</v>
      </c>
      <c r="Q21" s="131">
        <f>LOOKUP(C21,'TABLA ANTIG.'!$A$4:$A$39,'TABLA ANTIG.'!$B$4:$B$39)*(P21)</f>
        <v>0</v>
      </c>
      <c r="R21" s="27">
        <v>0</v>
      </c>
      <c r="S21" s="80">
        <f>'DATOS REFERENCIALES'!$C$14</f>
        <v>0</v>
      </c>
      <c r="T21" s="160">
        <f t="shared" si="11"/>
        <v>11400.148800000001</v>
      </c>
      <c r="U21" s="27">
        <f t="shared" si="2"/>
        <v>1254.0163680000001</v>
      </c>
      <c r="V21" s="27">
        <f t="shared" si="3"/>
        <v>342.00446399999998</v>
      </c>
      <c r="W21" s="27">
        <f t="shared" si="3"/>
        <v>342.00446399999998</v>
      </c>
      <c r="X21" s="27">
        <f t="shared" si="4"/>
        <v>228.00297600000002</v>
      </c>
      <c r="Y21" s="27">
        <f t="shared" si="5"/>
        <v>513.00669600000003</v>
      </c>
      <c r="Z21" s="27">
        <f t="shared" si="6"/>
        <v>2679.0349680000004</v>
      </c>
      <c r="AA21" s="148">
        <f t="shared" si="7"/>
        <v>8721.1138320000009</v>
      </c>
      <c r="AB21" s="148">
        <f>'DATOS REFERENCIALES'!$C$10</f>
        <v>1520</v>
      </c>
      <c r="AC21" s="107">
        <f>IF((IF(H21&gt;1119,('DATOS REFERENCIALES'!$C$9-(T21-U21-V21-W21-X21-Y21+AB21-L21-L21*0.235-(S21-S21*0.235))),(('DATOS REFERENCIALES'!$C$9/1120)*H21)-(K21+N21+O21+P21+Q21+R21-U21-V21-W21-X21-Y21+AB21-(L21-L21*0.235)-(S21*0.235))))&lt;0,0,IF(H21&gt;1119,(('DATOS REFERENCIALES'!$C$9)-(T21-U21-V21-W21-X21-Y21+AB21-(L21-L21*0.235)-(S21-S21*0.235))),(('DATOS REFERENCIALES'!$C$9/1120)*H21)-(K21+N21+O21+P21+Q21+R21-U21-V21-W21-X21-Y21+AB21)))</f>
        <v>5193.8861679999991</v>
      </c>
      <c r="AD21" s="131">
        <f t="shared" si="8"/>
        <v>15435</v>
      </c>
      <c r="AE21" s="92">
        <f>'DATOS REFERENCIALES'!$C$13</f>
        <v>1210</v>
      </c>
      <c r="AF21" s="275"/>
      <c r="AG21" s="80">
        <f>IF($H21&gt;1119,'DATOS REFERENCIALES'!C17,'DATOS REFERENCIALES'!C17/1120*$H21)</f>
        <v>1350</v>
      </c>
      <c r="AH21" s="80">
        <f>'DATOS REFERENCIALES'!$C$12</f>
        <v>210</v>
      </c>
      <c r="AI21" s="148">
        <f t="shared" si="12"/>
        <v>18205</v>
      </c>
      <c r="AJ21" s="598">
        <f>'DATOS REFERENCIALES'!$C$16</f>
        <v>772</v>
      </c>
      <c r="AK21" s="599">
        <f t="shared" si="9"/>
        <v>181.42</v>
      </c>
      <c r="AL21" s="598">
        <f t="shared" si="10"/>
        <v>590.58000000000004</v>
      </c>
      <c r="AM21" s="592">
        <f t="shared" si="13"/>
        <v>18795.580000000002</v>
      </c>
      <c r="AN21" s="17"/>
      <c r="AO21" s="17"/>
      <c r="AS21" s="8"/>
    </row>
    <row r="22" spans="1:45" s="1" customFormat="1" ht="21.75" customHeight="1" x14ac:dyDescent="0.2">
      <c r="A22" s="75">
        <v>1567</v>
      </c>
      <c r="B22" s="101" t="s">
        <v>30</v>
      </c>
      <c r="C22" s="35">
        <v>0</v>
      </c>
      <c r="D22" s="35"/>
      <c r="E22" s="35"/>
      <c r="F22" s="35"/>
      <c r="G22" s="62">
        <v>825</v>
      </c>
      <c r="H22" s="49">
        <f t="shared" si="0"/>
        <v>825</v>
      </c>
      <c r="I22" s="49"/>
      <c r="J22" s="49"/>
      <c r="K22" s="90">
        <f>H22*'DATOS REFERENCIALES'!$C$4</f>
        <v>5301.45</v>
      </c>
      <c r="L22" s="188"/>
      <c r="M22" s="188"/>
      <c r="N22" s="112">
        <f>LOOKUP(C22,'TABLA ANTIG.'!$A$4:$A$39,'TABLA ANTIG.'!$B$4:$B$39)*(K22)</f>
        <v>0</v>
      </c>
      <c r="O22" s="99">
        <f t="shared" si="1"/>
        <v>530.14499999999998</v>
      </c>
      <c r="P22" s="90">
        <f>'DATOS REFERENCIALES'!$C$8</f>
        <v>4275</v>
      </c>
      <c r="Q22" s="131">
        <f>LOOKUP(C22,'TABLA ANTIG.'!$A$4:$A$39,'TABLA ANTIG.'!$B$4:$B$39)*(P22)</f>
        <v>0</v>
      </c>
      <c r="R22" s="80">
        <v>0</v>
      </c>
      <c r="S22" s="80">
        <f>'DATOS REFERENCIALES'!$C$14</f>
        <v>0</v>
      </c>
      <c r="T22" s="160">
        <f t="shared" si="11"/>
        <v>10106.594999999999</v>
      </c>
      <c r="U22" s="80">
        <f t="shared" si="2"/>
        <v>1111.7254499999999</v>
      </c>
      <c r="V22" s="80">
        <f t="shared" si="3"/>
        <v>303.19784999999996</v>
      </c>
      <c r="W22" s="80">
        <f t="shared" si="3"/>
        <v>303.19784999999996</v>
      </c>
      <c r="X22" s="80">
        <f t="shared" si="4"/>
        <v>202.1319</v>
      </c>
      <c r="Y22" s="80">
        <f t="shared" si="5"/>
        <v>454.79677499999997</v>
      </c>
      <c r="Z22" s="27">
        <f t="shared" si="6"/>
        <v>2375.0498250000001</v>
      </c>
      <c r="AA22" s="148">
        <f t="shared" si="7"/>
        <v>7731.5451749999993</v>
      </c>
      <c r="AB22" s="148">
        <f>'DATOS REFERENCIALES'!$C$10</f>
        <v>1520</v>
      </c>
      <c r="AC22" s="107">
        <f>IF((IF(H22&gt;1119,('DATOS REFERENCIALES'!$C$9-(T22-U22-V22-W22-X22-Y22+AB22-L22-L22*0.235-(S22-S22*0.235))),(('DATOS REFERENCIALES'!$C$9/1120)*H22)-(K22+N22+O22+P22+Q22+R22-U22-V22-W22-X22-Y22+AB22-(L22-L22*0.235)-(S22*0.235))))&lt;0,0,IF(H22&gt;1119,(('DATOS REFERENCIALES'!$C$9)-(T22-U22-V22-W22-X22-Y22+AB22-(L22-L22*0.235)-(S22-S22*0.235))),(('DATOS REFERENCIALES'!$C$9/1120)*H22)-(K22+N22+O22+P22+Q22+R22-U22-V22-W22-X22-Y22+AB22)))</f>
        <v>3381.2673250000007</v>
      </c>
      <c r="AD22" s="131">
        <f t="shared" si="8"/>
        <v>12632.8125</v>
      </c>
      <c r="AE22" s="92">
        <f>'DATOS REFERENCIALES'!$C$13</f>
        <v>1210</v>
      </c>
      <c r="AF22" s="275"/>
      <c r="AG22" s="80">
        <f>IF($H22&gt;1119,'DATOS REFERENCIALES'!C17,'DATOS REFERENCIALES'!C17/1120*$H22)</f>
        <v>1104.9107142857142</v>
      </c>
      <c r="AH22" s="80">
        <f>'DATOS REFERENCIALES'!$C$12</f>
        <v>210</v>
      </c>
      <c r="AI22" s="148">
        <f t="shared" si="12"/>
        <v>15157.723214285714</v>
      </c>
      <c r="AJ22" s="598">
        <f>'DATOS REFERENCIALES'!$C$16</f>
        <v>772</v>
      </c>
      <c r="AK22" s="599">
        <f t="shared" si="9"/>
        <v>181.42</v>
      </c>
      <c r="AL22" s="598">
        <f t="shared" si="10"/>
        <v>590.58000000000004</v>
      </c>
      <c r="AM22" s="592">
        <f t="shared" si="13"/>
        <v>15748.303214285714</v>
      </c>
      <c r="AN22" s="17"/>
      <c r="AO22" s="17"/>
      <c r="AS22" s="8"/>
    </row>
    <row r="23" spans="1:45" s="1" customFormat="1" ht="21.75" customHeight="1" x14ac:dyDescent="0.2">
      <c r="A23" s="75">
        <v>1568</v>
      </c>
      <c r="B23" s="110" t="s">
        <v>76</v>
      </c>
      <c r="C23" s="35">
        <v>0</v>
      </c>
      <c r="D23" s="35"/>
      <c r="E23" s="35"/>
      <c r="F23" s="35"/>
      <c r="G23" s="62">
        <v>1008</v>
      </c>
      <c r="H23" s="49">
        <f t="shared" si="0"/>
        <v>1008</v>
      </c>
      <c r="I23" s="49"/>
      <c r="J23" s="49"/>
      <c r="K23" s="90">
        <f>H23*'DATOS REFERENCIALES'!$C$4</f>
        <v>6477.4080000000004</v>
      </c>
      <c r="L23" s="188"/>
      <c r="M23" s="188"/>
      <c r="N23" s="112">
        <f>LOOKUP(C23,'TABLA ANTIG.'!$A$4:$A$39,'TABLA ANTIG.'!$B$4:$B$39)*(K23)</f>
        <v>0</v>
      </c>
      <c r="O23" s="99">
        <f t="shared" si="1"/>
        <v>647.74080000000004</v>
      </c>
      <c r="P23" s="90">
        <f>'DATOS REFERENCIALES'!$C$8</f>
        <v>4275</v>
      </c>
      <c r="Q23" s="131">
        <f>LOOKUP(C23,'TABLA ANTIG.'!$A$4:$A$39,'TABLA ANTIG.'!$B$4:$B$39)*(P23)</f>
        <v>0</v>
      </c>
      <c r="R23" s="80">
        <v>0</v>
      </c>
      <c r="S23" s="80">
        <f>'DATOS REFERENCIALES'!$C$14</f>
        <v>0</v>
      </c>
      <c r="T23" s="160">
        <f t="shared" si="11"/>
        <v>11400.148800000001</v>
      </c>
      <c r="U23" s="80">
        <f t="shared" si="2"/>
        <v>1254.0163680000001</v>
      </c>
      <c r="V23" s="80">
        <f t="shared" si="3"/>
        <v>342.00446399999998</v>
      </c>
      <c r="W23" s="80">
        <f t="shared" si="3"/>
        <v>342.00446399999998</v>
      </c>
      <c r="X23" s="80">
        <f t="shared" si="4"/>
        <v>228.00297600000002</v>
      </c>
      <c r="Y23" s="80">
        <f t="shared" si="5"/>
        <v>513.00669600000003</v>
      </c>
      <c r="Z23" s="27">
        <f t="shared" si="6"/>
        <v>2679.0349680000004</v>
      </c>
      <c r="AA23" s="148">
        <f t="shared" si="7"/>
        <v>8721.1138320000009</v>
      </c>
      <c r="AB23" s="148">
        <f>'DATOS REFERENCIALES'!$C$10</f>
        <v>1520</v>
      </c>
      <c r="AC23" s="107">
        <f>IF((IF(H23&gt;1119,('DATOS REFERENCIALES'!$C$9-(T23-U23-V23-W23-X23-Y23+AB23-L23-L23*0.235-(S23-S23*0.235))),(('DATOS REFERENCIALES'!$C$9/1120)*H23)-(K23+N23+O23+P23+Q23+R23-U23-V23-W23-X23-Y23+AB23-(L23-L23*0.235)-(S23*0.235))))&lt;0,0,IF(H23&gt;1119,(('DATOS REFERENCIALES'!$C$9)-(T23-U23-V23-W23-X23-Y23+AB23-(L23-L23*0.235)-(S23-S23*0.235))),(('DATOS REFERENCIALES'!$C$9/1120)*H23)-(K23+N23+O23+P23+Q23+R23-U23-V23-W23-X23-Y23+AB23)))</f>
        <v>5193.8861679999991</v>
      </c>
      <c r="AD23" s="131">
        <f t="shared" si="8"/>
        <v>15435</v>
      </c>
      <c r="AE23" s="92">
        <f>'DATOS REFERENCIALES'!$C$13</f>
        <v>1210</v>
      </c>
      <c r="AF23" s="275"/>
      <c r="AG23" s="80">
        <f>IF($H23&gt;1119,'DATOS REFERENCIALES'!C17,'DATOS REFERENCIALES'!C17/1120*$H23)</f>
        <v>1350</v>
      </c>
      <c r="AH23" s="80">
        <f>'DATOS REFERENCIALES'!$C$12</f>
        <v>210</v>
      </c>
      <c r="AI23" s="148">
        <f t="shared" si="12"/>
        <v>18205</v>
      </c>
      <c r="AJ23" s="598">
        <f>'DATOS REFERENCIALES'!$C$16</f>
        <v>772</v>
      </c>
      <c r="AK23" s="599">
        <f t="shared" si="9"/>
        <v>181.42</v>
      </c>
      <c r="AL23" s="598">
        <f t="shared" si="10"/>
        <v>590.58000000000004</v>
      </c>
      <c r="AM23" s="592">
        <f t="shared" si="13"/>
        <v>18795.580000000002</v>
      </c>
      <c r="AN23" s="17"/>
      <c r="AO23" s="17"/>
      <c r="AS23" s="8"/>
    </row>
    <row r="24" spans="1:45" s="1" customFormat="1" ht="21.75" customHeight="1" x14ac:dyDescent="0.2">
      <c r="A24" s="75">
        <v>1582</v>
      </c>
      <c r="B24" s="101" t="s">
        <v>15</v>
      </c>
      <c r="C24" s="35">
        <v>0</v>
      </c>
      <c r="D24" s="35"/>
      <c r="E24" s="35"/>
      <c r="F24" s="35"/>
      <c r="G24" s="62">
        <v>952</v>
      </c>
      <c r="H24" s="49">
        <f t="shared" si="0"/>
        <v>952</v>
      </c>
      <c r="I24" s="49"/>
      <c r="J24" s="49"/>
      <c r="K24" s="90">
        <f>H24*'DATOS REFERENCIALES'!$C$4</f>
        <v>6117.5520000000006</v>
      </c>
      <c r="L24" s="188"/>
      <c r="M24" s="188"/>
      <c r="N24" s="112">
        <f>LOOKUP(C24,'TABLA ANTIG.'!$A$4:$A$39,'TABLA ANTIG.'!$B$4:$B$39)*(K24)</f>
        <v>0</v>
      </c>
      <c r="O24" s="99">
        <f t="shared" si="1"/>
        <v>611.75520000000006</v>
      </c>
      <c r="P24" s="90">
        <f>'DATOS REFERENCIALES'!$C$8</f>
        <v>4275</v>
      </c>
      <c r="Q24" s="131">
        <f>LOOKUP(C24,'TABLA ANTIG.'!$A$4:$A$39,'TABLA ANTIG.'!$B$4:$B$39)*(P24)</f>
        <v>0</v>
      </c>
      <c r="R24" s="80">
        <v>0</v>
      </c>
      <c r="S24" s="80">
        <f>'DATOS REFERENCIALES'!$C$14</f>
        <v>0</v>
      </c>
      <c r="T24" s="160">
        <f t="shared" si="11"/>
        <v>11004.307200000001</v>
      </c>
      <c r="U24" s="80">
        <f t="shared" si="2"/>
        <v>1210.4737920000002</v>
      </c>
      <c r="V24" s="80">
        <f t="shared" si="3"/>
        <v>330.12921600000004</v>
      </c>
      <c r="W24" s="80">
        <f t="shared" si="3"/>
        <v>330.12921600000004</v>
      </c>
      <c r="X24" s="80">
        <f t="shared" si="4"/>
        <v>220.08614400000002</v>
      </c>
      <c r="Y24" s="80">
        <f t="shared" si="5"/>
        <v>495.19382400000001</v>
      </c>
      <c r="Z24" s="27">
        <f t="shared" si="6"/>
        <v>2586.0121920000001</v>
      </c>
      <c r="AA24" s="148">
        <f t="shared" si="7"/>
        <v>8418.295008000001</v>
      </c>
      <c r="AB24" s="148">
        <f>'DATOS REFERENCIALES'!$C$10</f>
        <v>1520</v>
      </c>
      <c r="AC24" s="107">
        <f>IF((IF(H24&gt;1119,('DATOS REFERENCIALES'!$C$9-(T24-U24-V24-W24-X24-Y24+AB24-L24-L24*0.235-(S24-S24*0.235))),(('DATOS REFERENCIALES'!$C$9/1120)*H24)-(K24+N24+O24+P24+Q24+R24-U24-V24-W24-X24-Y24+AB24-(L24-L24*0.235)-(S24*0.235))))&lt;0,0,IF(H24&gt;1119,(('DATOS REFERENCIALES'!$C$9)-(T24-U24-V24-W24-X24-Y24+AB24-(L24-L24*0.235)-(S24-S24*0.235))),(('DATOS REFERENCIALES'!$C$9/1120)*H24)-(K24+N24+O24+P24+Q24+R24-U24-V24-W24-X24-Y24+AB24)))</f>
        <v>4639.204991999999</v>
      </c>
      <c r="AD24" s="131">
        <f t="shared" si="8"/>
        <v>14577.5</v>
      </c>
      <c r="AE24" s="92">
        <f>'DATOS REFERENCIALES'!$C$13</f>
        <v>1210</v>
      </c>
      <c r="AF24" s="275"/>
      <c r="AG24" s="80">
        <f>IF($H24&gt;1119,'DATOS REFERENCIALES'!C17,'DATOS REFERENCIALES'!C17/1120*$H24)</f>
        <v>1275</v>
      </c>
      <c r="AH24" s="80">
        <f>'DATOS REFERENCIALES'!$C$12</f>
        <v>210</v>
      </c>
      <c r="AI24" s="148">
        <f t="shared" si="12"/>
        <v>17272.5</v>
      </c>
      <c r="AJ24" s="598">
        <f>'DATOS REFERENCIALES'!$C$16</f>
        <v>772</v>
      </c>
      <c r="AK24" s="599">
        <f t="shared" si="9"/>
        <v>181.42</v>
      </c>
      <c r="AL24" s="598">
        <f t="shared" si="10"/>
        <v>590.58000000000004</v>
      </c>
      <c r="AM24" s="592">
        <f t="shared" si="13"/>
        <v>17863.080000000002</v>
      </c>
      <c r="AN24" s="17"/>
      <c r="AO24" s="17"/>
      <c r="AS24" s="8"/>
    </row>
    <row r="25" spans="1:45" s="1" customFormat="1" ht="21.75" customHeight="1" x14ac:dyDescent="0.2">
      <c r="A25" s="75">
        <v>1599</v>
      </c>
      <c r="B25" s="101" t="s">
        <v>31</v>
      </c>
      <c r="C25" s="35">
        <v>0</v>
      </c>
      <c r="D25" s="35">
        <v>1</v>
      </c>
      <c r="E25" s="35"/>
      <c r="F25" s="35"/>
      <c r="G25" s="62">
        <v>56</v>
      </c>
      <c r="H25" s="49">
        <f t="shared" si="0"/>
        <v>56</v>
      </c>
      <c r="I25" s="49"/>
      <c r="J25" s="49"/>
      <c r="K25" s="90">
        <f>(H25*'DATOS REFERENCIALES'!$C$4)*D25</f>
        <v>359.85599999999999</v>
      </c>
      <c r="L25" s="188"/>
      <c r="M25" s="188"/>
      <c r="N25" s="112">
        <f>LOOKUP(C25,'TABLA ANTIG.'!$A$4:$A$39,'TABLA ANTIG.'!$B$4:$B$39)*(K25)</f>
        <v>0</v>
      </c>
      <c r="O25" s="181">
        <f t="shared" si="1"/>
        <v>35.985599999999998</v>
      </c>
      <c r="P25" s="90">
        <f>IF(D25&gt;48,'DATOS REFERENCIALES'!$D$8+('DATOS REFERENCIALES'!$F$8*10),IF(D25&lt;39,'DATOS REFERENCIALES'!$E$8*D25,((D25-'DATOS REFERENCIALES'!$I$8)*'DATOS REFERENCIALES'!$F$8)+'DATOS REFERENCIALES'!$D$8))</f>
        <v>225</v>
      </c>
      <c r="Q25" s="154">
        <f>LOOKUP(C25,'TABLA ANTIG.'!$A$4:$A$39,'TABLA ANTIG.'!$B$4:$B$39)*(P25)</f>
        <v>0</v>
      </c>
      <c r="R25" s="80">
        <v>0</v>
      </c>
      <c r="S25" s="90">
        <f>IF(D25&gt;29.99,'DATOS REFERENCIALES'!$D$14,'DATOS REFERENCIALES'!$E$14*D25)</f>
        <v>0</v>
      </c>
      <c r="T25" s="160">
        <f t="shared" si="11"/>
        <v>620.84159999999997</v>
      </c>
      <c r="U25" s="80">
        <f t="shared" si="2"/>
        <v>68.292575999999997</v>
      </c>
      <c r="V25" s="80">
        <f t="shared" si="3"/>
        <v>18.625247999999999</v>
      </c>
      <c r="W25" s="80">
        <f t="shared" si="3"/>
        <v>18.625247999999999</v>
      </c>
      <c r="X25" s="80">
        <f t="shared" si="4"/>
        <v>12.416831999999999</v>
      </c>
      <c r="Y25" s="80">
        <f t="shared" si="5"/>
        <v>27.937871999999999</v>
      </c>
      <c r="Z25" s="27">
        <f t="shared" si="6"/>
        <v>145.89777599999999</v>
      </c>
      <c r="AA25" s="148">
        <f t="shared" si="7"/>
        <v>474.94382399999995</v>
      </c>
      <c r="AB25" s="148">
        <f>IF(D25&gt;38,'DATOS REFERENCIALES'!$D$10,'DATOS REFERENCIALES'!$E$10*D25)</f>
        <v>80</v>
      </c>
      <c r="AC25" s="80">
        <f>IF(D25&gt;41,IF((('DATOS REFERENCIALES'!$D$9)-((T25-S25)-(Z25-S25*0.235)+(AB25)))&lt;0,0,((('DATOS REFERENCIALES'!$D$9)-((T25-S25)-(Z25-S25*0.235)+(AB25))))),IF((('DATOS REFERENCIALES'!$E$9*D25)-(((T25-S25)-(Z25-S25*0.235)+(AB25))))&lt;0,0,('DATOS REFERENCIALES'!$E$9*D25)-((T25-S25)-(Z25-S25*0.235)+(AB25))))</f>
        <v>302.55617600000005</v>
      </c>
      <c r="AD25" s="131">
        <f t="shared" si="8"/>
        <v>857.5</v>
      </c>
      <c r="AE25" s="92">
        <f>IF(D25&gt;30,'DATOS REFERENCIALES'!$D$13,('DATOS REFERENCIALES'!$E$13*D25))</f>
        <v>80.666659999999993</v>
      </c>
      <c r="AF25" s="275"/>
      <c r="AG25" s="80">
        <f>IF(D25&gt;'DATOS REFERENCIALES'!$I$17,'DATOS REFERENCIALES'!$D$17,('DATOS REFERENCIALES'!$E$17*D25))</f>
        <v>75</v>
      </c>
      <c r="AH25" s="80">
        <f>IF(D25&gt;'DATOS REFERENCIALES'!$I$12,'DATOS REFERENCIALES'!$D$12,'DATOS REFERENCIALES'!$E$12*D25)</f>
        <v>14</v>
      </c>
      <c r="AI25" s="148">
        <f t="shared" si="12"/>
        <v>1027.1666599999999</v>
      </c>
      <c r="AJ25" s="598">
        <f>IF(D25&gt;'DATOS REFERENCIALES'!$I$16,'DATOS REFERENCIALES'!$D$16,'DATOS REFERENCIALES'!$E$16*D25)</f>
        <v>51.47</v>
      </c>
      <c r="AK25" s="599">
        <f t="shared" si="9"/>
        <v>12.09545</v>
      </c>
      <c r="AL25" s="598">
        <f t="shared" si="10"/>
        <v>39.374549999999999</v>
      </c>
      <c r="AM25" s="592">
        <f t="shared" si="13"/>
        <v>1066.5412099999999</v>
      </c>
      <c r="AN25" s="17"/>
      <c r="AO25" s="17"/>
      <c r="AS25" s="8"/>
    </row>
    <row r="26" spans="1:45" s="1" customFormat="1" ht="21.75" customHeight="1" x14ac:dyDescent="0.2">
      <c r="A26" s="75">
        <v>1599</v>
      </c>
      <c r="B26" s="101" t="s">
        <v>96</v>
      </c>
      <c r="C26" s="35">
        <v>0</v>
      </c>
      <c r="D26" s="35">
        <v>1</v>
      </c>
      <c r="E26" s="35"/>
      <c r="F26" s="35"/>
      <c r="G26" s="62">
        <v>56</v>
      </c>
      <c r="H26" s="49">
        <f t="shared" si="0"/>
        <v>56</v>
      </c>
      <c r="I26" s="49"/>
      <c r="J26" s="49"/>
      <c r="K26" s="90">
        <f>(H26*'DATOS REFERENCIALES'!$C$4)*D26</f>
        <v>359.85599999999999</v>
      </c>
      <c r="L26" s="188"/>
      <c r="M26" s="188"/>
      <c r="N26" s="112">
        <f>LOOKUP(C26,'TABLA ANTIG.'!$A$4:$A$39,'TABLA ANTIG.'!$B$4:$B$39)*(K26)</f>
        <v>0</v>
      </c>
      <c r="O26" s="99">
        <f t="shared" si="1"/>
        <v>35.985599999999998</v>
      </c>
      <c r="P26" s="90">
        <f>IF(D26&gt;48,'DATOS REFERENCIALES'!$D$8+('DATOS REFERENCIALES'!$F$8*10),IF(D26&lt;39,'DATOS REFERENCIALES'!$E$8*D26,((D26-'DATOS REFERENCIALES'!$I$8)*'DATOS REFERENCIALES'!$F$8)+'DATOS REFERENCIALES'!$D$8))</f>
        <v>225</v>
      </c>
      <c r="Q26" s="131">
        <f>LOOKUP(C26,'TABLA ANTIG.'!$A$4:$A$39,'TABLA ANTIG.'!$B$4:$B$39)*(P26)</f>
        <v>0</v>
      </c>
      <c r="R26" s="80">
        <v>0</v>
      </c>
      <c r="S26" s="90">
        <f>IF(D26&gt;29.99,'DATOS REFERENCIALES'!$D$14,'DATOS REFERENCIALES'!$E$14*D26)</f>
        <v>0</v>
      </c>
      <c r="T26" s="160">
        <f t="shared" si="11"/>
        <v>620.84159999999997</v>
      </c>
      <c r="U26" s="80">
        <f t="shared" si="2"/>
        <v>68.292575999999997</v>
      </c>
      <c r="V26" s="80">
        <f t="shared" si="3"/>
        <v>18.625247999999999</v>
      </c>
      <c r="W26" s="80">
        <f t="shared" si="3"/>
        <v>18.625247999999999</v>
      </c>
      <c r="X26" s="80">
        <f t="shared" si="4"/>
        <v>12.416831999999999</v>
      </c>
      <c r="Y26" s="80">
        <f t="shared" si="5"/>
        <v>27.937871999999999</v>
      </c>
      <c r="Z26" s="27">
        <f t="shared" si="6"/>
        <v>145.89777599999999</v>
      </c>
      <c r="AA26" s="148">
        <f t="shared" si="7"/>
        <v>474.94382399999995</v>
      </c>
      <c r="AB26" s="148">
        <f>IF(D26&gt;38,'DATOS REFERENCIALES'!$D$10,'DATOS REFERENCIALES'!$E$10*D26)</f>
        <v>80</v>
      </c>
      <c r="AC26" s="80">
        <f>IF(D26&gt;41,IF((('DATOS REFERENCIALES'!$D$9)-((T26-S26)-(Z26-S26*0.235)+(AB26)))&lt;0,0,((('DATOS REFERENCIALES'!$D$9)-((T26-S26)-(Z26-S26*0.235)+(AB26))))),IF((('DATOS REFERENCIALES'!$E$9*D26)-(((T26-S26)-(Z26-S26*0.235)+(AB26))))&lt;0,0,('DATOS REFERENCIALES'!$E$9*D26)-((T26-S26)-(Z26-S26*0.235)+(AB26))))</f>
        <v>302.55617600000005</v>
      </c>
      <c r="AD26" s="131">
        <f t="shared" si="8"/>
        <v>857.5</v>
      </c>
      <c r="AE26" s="92">
        <f>IF(D26&gt;30,'DATOS REFERENCIALES'!$D$13,('DATOS REFERENCIALES'!$E$13*D26))</f>
        <v>80.666659999999993</v>
      </c>
      <c r="AF26" s="275"/>
      <c r="AG26" s="80">
        <f>IF(D26&gt;'DATOS REFERENCIALES'!$I$17,'DATOS REFERENCIALES'!$D$17,('DATOS REFERENCIALES'!$E$17*D26))</f>
        <v>75</v>
      </c>
      <c r="AH26" s="80">
        <f>IF(D26&gt;'DATOS REFERENCIALES'!$I$12,'DATOS REFERENCIALES'!$D$12,'DATOS REFERENCIALES'!$E$12*D26)</f>
        <v>14</v>
      </c>
      <c r="AI26" s="148">
        <f t="shared" si="12"/>
        <v>1027.1666599999999</v>
      </c>
      <c r="AJ26" s="598">
        <f>IF(D26&gt;'DATOS REFERENCIALES'!$I$16,'DATOS REFERENCIALES'!$D$16,'DATOS REFERENCIALES'!$E$16*D26)</f>
        <v>51.47</v>
      </c>
      <c r="AK26" s="599">
        <f t="shared" si="9"/>
        <v>12.09545</v>
      </c>
      <c r="AL26" s="598">
        <f t="shared" si="10"/>
        <v>39.374549999999999</v>
      </c>
      <c r="AM26" s="592">
        <f t="shared" si="13"/>
        <v>1066.5412099999999</v>
      </c>
      <c r="AN26" s="17"/>
      <c r="AO26" s="17"/>
      <c r="AS26" s="8"/>
    </row>
    <row r="27" spans="1:45" s="1" customFormat="1" ht="21.75" customHeight="1" x14ac:dyDescent="0.2">
      <c r="A27" s="75">
        <v>1599</v>
      </c>
      <c r="B27" s="101" t="s">
        <v>97</v>
      </c>
      <c r="C27" s="35">
        <v>0</v>
      </c>
      <c r="D27" s="35">
        <v>1</v>
      </c>
      <c r="E27" s="35"/>
      <c r="F27" s="35"/>
      <c r="G27" s="62">
        <v>56</v>
      </c>
      <c r="H27" s="49">
        <f t="shared" si="0"/>
        <v>56</v>
      </c>
      <c r="I27" s="49"/>
      <c r="J27" s="49"/>
      <c r="K27" s="90">
        <f>(H27*'DATOS REFERENCIALES'!$C$4)*D27</f>
        <v>359.85599999999999</v>
      </c>
      <c r="L27" s="188"/>
      <c r="M27" s="188"/>
      <c r="N27" s="112">
        <f>LOOKUP(C27,'TABLA ANTIG.'!$A$4:$A$39,'TABLA ANTIG.'!$B$4:$B$39)*(K27)</f>
        <v>0</v>
      </c>
      <c r="O27" s="99">
        <f t="shared" si="1"/>
        <v>35.985599999999998</v>
      </c>
      <c r="P27" s="90">
        <f>IF(D27&gt;48,'DATOS REFERENCIALES'!$D$8+('DATOS REFERENCIALES'!$F$8*10),IF(D27&lt;39,'DATOS REFERENCIALES'!$E$8*D27,((D27-'DATOS REFERENCIALES'!$I$8)*'DATOS REFERENCIALES'!$F$8)+'DATOS REFERENCIALES'!$D$8))</f>
        <v>225</v>
      </c>
      <c r="Q27" s="131">
        <f>LOOKUP(C27,'TABLA ANTIG.'!$A$4:$A$39,'TABLA ANTIG.'!$B$4:$B$39)*(P27)</f>
        <v>0</v>
      </c>
      <c r="R27" s="80">
        <v>0</v>
      </c>
      <c r="S27" s="90">
        <f>IF(D27&gt;29.99,'DATOS REFERENCIALES'!$D$14,'DATOS REFERENCIALES'!$E$14*D27)</f>
        <v>0</v>
      </c>
      <c r="T27" s="160">
        <f t="shared" si="11"/>
        <v>620.84159999999997</v>
      </c>
      <c r="U27" s="80">
        <f t="shared" si="2"/>
        <v>68.292575999999997</v>
      </c>
      <c r="V27" s="80">
        <f t="shared" si="3"/>
        <v>18.625247999999999</v>
      </c>
      <c r="W27" s="80">
        <f t="shared" si="3"/>
        <v>18.625247999999999</v>
      </c>
      <c r="X27" s="80">
        <f t="shared" si="4"/>
        <v>12.416831999999999</v>
      </c>
      <c r="Y27" s="80">
        <f t="shared" si="5"/>
        <v>27.937871999999999</v>
      </c>
      <c r="Z27" s="27">
        <f t="shared" si="6"/>
        <v>145.89777599999999</v>
      </c>
      <c r="AA27" s="148">
        <f t="shared" si="7"/>
        <v>474.94382399999995</v>
      </c>
      <c r="AB27" s="148">
        <f>IF(D27&gt;38,'DATOS REFERENCIALES'!$D$10,'DATOS REFERENCIALES'!$E$10*D27)</f>
        <v>80</v>
      </c>
      <c r="AC27" s="80">
        <f>IF(D27&gt;41,IF((('DATOS REFERENCIALES'!$D$9)-((T27-S27)-(Z27-S27*0.235)+(AB27)))&lt;0,0,((('DATOS REFERENCIALES'!$D$9)-((T27-S27)-(Z27-S27*0.235)+(AB27))))),IF((('DATOS REFERENCIALES'!$E$9*D27)-(((T27-S27)-(Z27-S27*0.235)+(AB27))))&lt;0,0,('DATOS REFERENCIALES'!$E$9*D27)-((T27-S27)-(Z27-S27*0.235)+(AB27))))</f>
        <v>302.55617600000005</v>
      </c>
      <c r="AD27" s="131">
        <f t="shared" si="8"/>
        <v>857.5</v>
      </c>
      <c r="AE27" s="92">
        <f>IF(D27&gt;30,'DATOS REFERENCIALES'!$D$13,('DATOS REFERENCIALES'!$E$13*D27))</f>
        <v>80.666659999999993</v>
      </c>
      <c r="AF27" s="275"/>
      <c r="AG27" s="80">
        <f>IF(D27&gt;'DATOS REFERENCIALES'!$I$17,'DATOS REFERENCIALES'!$D$17,('DATOS REFERENCIALES'!$E$17*D27))</f>
        <v>75</v>
      </c>
      <c r="AH27" s="80">
        <f>IF(D27&gt;'DATOS REFERENCIALES'!$I$12,'DATOS REFERENCIALES'!$D$12,'DATOS REFERENCIALES'!$E$12*D27)</f>
        <v>14</v>
      </c>
      <c r="AI27" s="148">
        <f t="shared" si="12"/>
        <v>1027.1666599999999</v>
      </c>
      <c r="AJ27" s="598">
        <f>IF(D27&gt;'DATOS REFERENCIALES'!$I$16,'DATOS REFERENCIALES'!$D$16,'DATOS REFERENCIALES'!$E$16*D27)</f>
        <v>51.47</v>
      </c>
      <c r="AK27" s="599">
        <f t="shared" si="9"/>
        <v>12.09545</v>
      </c>
      <c r="AL27" s="598">
        <f t="shared" si="10"/>
        <v>39.374549999999999</v>
      </c>
      <c r="AM27" s="592">
        <f t="shared" si="13"/>
        <v>1066.5412099999999</v>
      </c>
      <c r="AN27" s="17"/>
      <c r="AO27" s="17"/>
      <c r="AS27" s="8"/>
    </row>
    <row r="28" spans="1:45" s="1" customFormat="1" ht="21.75" customHeight="1" x14ac:dyDescent="0.2">
      <c r="A28" s="75">
        <v>1599</v>
      </c>
      <c r="B28" s="101" t="s">
        <v>98</v>
      </c>
      <c r="C28" s="35">
        <v>0</v>
      </c>
      <c r="D28" s="35">
        <v>1</v>
      </c>
      <c r="E28" s="35"/>
      <c r="F28" s="35"/>
      <c r="G28" s="62">
        <v>56</v>
      </c>
      <c r="H28" s="49">
        <f t="shared" si="0"/>
        <v>56</v>
      </c>
      <c r="I28" s="49"/>
      <c r="J28" s="49"/>
      <c r="K28" s="90">
        <f>(H28*'DATOS REFERENCIALES'!$C$4)*D28</f>
        <v>359.85599999999999</v>
      </c>
      <c r="L28" s="188"/>
      <c r="M28" s="188"/>
      <c r="N28" s="112">
        <f>LOOKUP(C28,'TABLA ANTIG.'!$A$4:$A$39,'TABLA ANTIG.'!$B$4:$B$39)*(K28)</f>
        <v>0</v>
      </c>
      <c r="O28" s="99">
        <f t="shared" si="1"/>
        <v>35.985599999999998</v>
      </c>
      <c r="P28" s="90">
        <f>IF(D28&gt;48,'DATOS REFERENCIALES'!$D$8+('DATOS REFERENCIALES'!$F$8*10),IF(D28&lt;39,'DATOS REFERENCIALES'!$E$8*D28,((D28-'DATOS REFERENCIALES'!$I$8)*'DATOS REFERENCIALES'!$F$8)+'DATOS REFERENCIALES'!$D$8))</f>
        <v>225</v>
      </c>
      <c r="Q28" s="131">
        <f>LOOKUP(C28,'TABLA ANTIG.'!$A$4:$A$39,'TABLA ANTIG.'!$B$4:$B$39)*(P28)</f>
        <v>0</v>
      </c>
      <c r="R28" s="80">
        <v>0</v>
      </c>
      <c r="S28" s="90">
        <f>IF(D28&gt;29.99,'DATOS REFERENCIALES'!$D$14,'DATOS REFERENCIALES'!$E$14*D28)</f>
        <v>0</v>
      </c>
      <c r="T28" s="160">
        <f t="shared" si="11"/>
        <v>620.84159999999997</v>
      </c>
      <c r="U28" s="80">
        <f t="shared" si="2"/>
        <v>68.292575999999997</v>
      </c>
      <c r="V28" s="80">
        <f t="shared" si="3"/>
        <v>18.625247999999999</v>
      </c>
      <c r="W28" s="80">
        <f t="shared" si="3"/>
        <v>18.625247999999999</v>
      </c>
      <c r="X28" s="80">
        <f t="shared" si="4"/>
        <v>12.416831999999999</v>
      </c>
      <c r="Y28" s="80">
        <f t="shared" si="5"/>
        <v>27.937871999999999</v>
      </c>
      <c r="Z28" s="27">
        <f t="shared" si="6"/>
        <v>145.89777599999999</v>
      </c>
      <c r="AA28" s="148">
        <f t="shared" si="7"/>
        <v>474.94382399999995</v>
      </c>
      <c r="AB28" s="148">
        <f>IF(D28&gt;38,'DATOS REFERENCIALES'!$D$10,'DATOS REFERENCIALES'!$E$10*D28)</f>
        <v>80</v>
      </c>
      <c r="AC28" s="80">
        <f>IF(D28&gt;41,IF((('DATOS REFERENCIALES'!$D$9)-((T28-S28)-(Z28-S28*0.235)+(AB28)))&lt;0,0,((('DATOS REFERENCIALES'!$D$9)-((T28-S28)-(Z28-S28*0.235)+(AB28))))),IF((('DATOS REFERENCIALES'!$E$9*D28)-(((T28-S28)-(Z28-S28*0.235)+(AB28))))&lt;0,0,('DATOS REFERENCIALES'!$E$9*D28)-((T28-S28)-(Z28-S28*0.235)+(AB28))))</f>
        <v>302.55617600000005</v>
      </c>
      <c r="AD28" s="131">
        <f t="shared" si="8"/>
        <v>857.5</v>
      </c>
      <c r="AE28" s="92">
        <f>IF(D28&gt;30,'DATOS REFERENCIALES'!$D$13,('DATOS REFERENCIALES'!$E$13*D28))</f>
        <v>80.666659999999993</v>
      </c>
      <c r="AF28" s="275"/>
      <c r="AG28" s="80">
        <f>IF(D28&gt;'DATOS REFERENCIALES'!$I$17,'DATOS REFERENCIALES'!$D$17,('DATOS REFERENCIALES'!$E$17*D28))</f>
        <v>75</v>
      </c>
      <c r="AH28" s="80">
        <f>IF(D28&gt;'DATOS REFERENCIALES'!$I$12,'DATOS REFERENCIALES'!$D$12,'DATOS REFERENCIALES'!$E$12*D28)</f>
        <v>14</v>
      </c>
      <c r="AI28" s="148">
        <f t="shared" si="12"/>
        <v>1027.1666599999999</v>
      </c>
      <c r="AJ28" s="598">
        <f>IF(D28&gt;'DATOS REFERENCIALES'!$I$16,'DATOS REFERENCIALES'!$D$16,'DATOS REFERENCIALES'!$E$16*D28)</f>
        <v>51.47</v>
      </c>
      <c r="AK28" s="599">
        <f t="shared" si="9"/>
        <v>12.09545</v>
      </c>
      <c r="AL28" s="598">
        <f t="shared" si="10"/>
        <v>39.374549999999999</v>
      </c>
      <c r="AM28" s="592">
        <f t="shared" si="13"/>
        <v>1066.5412099999999</v>
      </c>
      <c r="AN28" s="17"/>
      <c r="AO28" s="17"/>
      <c r="AS28" s="8"/>
    </row>
    <row r="29" spans="1:45" s="1" customFormat="1" ht="21.75" customHeight="1" thickBot="1" x14ac:dyDescent="0.25">
      <c r="A29" s="76">
        <v>1599</v>
      </c>
      <c r="B29" s="103" t="s">
        <v>99</v>
      </c>
      <c r="C29" s="57">
        <v>0</v>
      </c>
      <c r="D29" s="57">
        <v>1</v>
      </c>
      <c r="E29" s="57"/>
      <c r="F29" s="57"/>
      <c r="G29" s="66">
        <v>56</v>
      </c>
      <c r="H29" s="111">
        <f t="shared" si="0"/>
        <v>56</v>
      </c>
      <c r="I29" s="111"/>
      <c r="J29" s="111"/>
      <c r="K29" s="91">
        <f>(H29*'DATOS REFERENCIALES'!$C$4)*D29</f>
        <v>359.85599999999999</v>
      </c>
      <c r="L29" s="189"/>
      <c r="M29" s="189"/>
      <c r="N29" s="113">
        <f>LOOKUP(C29,'TABLA ANTIG.'!$A$4:$A$39,'TABLA ANTIG.'!$B$4:$B$39)*(K29)</f>
        <v>0</v>
      </c>
      <c r="O29" s="182">
        <f t="shared" si="1"/>
        <v>35.985599999999998</v>
      </c>
      <c r="P29" s="91">
        <f>IF(D29&gt;48,'DATOS REFERENCIALES'!$D$8+('DATOS REFERENCIALES'!$F$8*10),IF(D29&lt;39,'DATOS REFERENCIALES'!$E$8*D29,((D29-'DATOS REFERENCIALES'!$I$8)*'DATOS REFERENCIALES'!$F$8)+'DATOS REFERENCIALES'!$D$8))</f>
        <v>225</v>
      </c>
      <c r="Q29" s="171">
        <f>LOOKUP(C29,'TABLA ANTIG.'!$A$4:$A$39,'TABLA ANTIG.'!$B$4:$B$39)*(P29)</f>
        <v>0</v>
      </c>
      <c r="R29" s="81">
        <v>0</v>
      </c>
      <c r="S29" s="91">
        <f>IF(D29&gt;29.99,'DATOS REFERENCIALES'!$D$14,'DATOS REFERENCIALES'!$E$14*D29)</f>
        <v>0</v>
      </c>
      <c r="T29" s="207">
        <f t="shared" si="11"/>
        <v>620.84159999999997</v>
      </c>
      <c r="U29" s="81">
        <f t="shared" si="2"/>
        <v>68.292575999999997</v>
      </c>
      <c r="V29" s="81">
        <f t="shared" si="3"/>
        <v>18.625247999999999</v>
      </c>
      <c r="W29" s="81">
        <f t="shared" si="3"/>
        <v>18.625247999999999</v>
      </c>
      <c r="X29" s="81">
        <f t="shared" si="4"/>
        <v>12.416831999999999</v>
      </c>
      <c r="Y29" s="81">
        <f t="shared" si="5"/>
        <v>27.937871999999999</v>
      </c>
      <c r="Z29" s="28">
        <f t="shared" si="6"/>
        <v>145.89777599999999</v>
      </c>
      <c r="AA29" s="151">
        <f t="shared" si="7"/>
        <v>474.94382399999995</v>
      </c>
      <c r="AB29" s="151">
        <f>IF(D29&gt;38,'DATOS REFERENCIALES'!$D$10,'DATOS REFERENCIALES'!$E$10*D29)</f>
        <v>80</v>
      </c>
      <c r="AC29" s="81">
        <f>IF(D29&gt;41,IF((('DATOS REFERENCIALES'!$D$9)-((T29-S29)-(Z29-S29*0.235)+(AB29)))&lt;0,0,((('DATOS REFERENCIALES'!$D$9)-((T29-S29)-(Z29-S29*0.235)+(AB29))))),IF((('DATOS REFERENCIALES'!$E$9*D29)-(((T29-S29)-(Z29-S29*0.235)+(AB29))))&lt;0,0,('DATOS REFERENCIALES'!$E$9*D29)-((T29-S29)-(Z29-S29*0.235)+(AB29))))</f>
        <v>302.55617600000005</v>
      </c>
      <c r="AD29" s="132">
        <f t="shared" si="8"/>
        <v>857.5</v>
      </c>
      <c r="AE29" s="93">
        <f>IF(D29&gt;30,'DATOS REFERENCIALES'!$D$13,('DATOS REFERENCIALES'!$E$13*D29))</f>
        <v>80.666659999999993</v>
      </c>
      <c r="AF29" s="273"/>
      <c r="AG29" s="81">
        <f>IF(D29&gt;'DATOS REFERENCIALES'!$I$17,'DATOS REFERENCIALES'!$D$17,('DATOS REFERENCIALES'!$E$17*D29))</f>
        <v>75</v>
      </c>
      <c r="AH29" s="81">
        <f>IF(D29&gt;'DATOS REFERENCIALES'!$I$12,'DATOS REFERENCIALES'!$D$12,'DATOS REFERENCIALES'!$E$12*D29)</f>
        <v>14</v>
      </c>
      <c r="AI29" s="151">
        <f t="shared" si="12"/>
        <v>1027.1666599999999</v>
      </c>
      <c r="AJ29" s="600">
        <f>IF(D29&gt;'DATOS REFERENCIALES'!$I$16,'DATOS REFERENCIALES'!$D$16,'DATOS REFERENCIALES'!$E$16*D29)</f>
        <v>51.47</v>
      </c>
      <c r="AK29" s="601">
        <f t="shared" si="9"/>
        <v>12.09545</v>
      </c>
      <c r="AL29" s="600">
        <f t="shared" si="10"/>
        <v>39.374549999999999</v>
      </c>
      <c r="AM29" s="593">
        <f t="shared" si="13"/>
        <v>1066.5412099999999</v>
      </c>
      <c r="AN29" s="17"/>
      <c r="AO29" s="17"/>
      <c r="AS29" s="8"/>
    </row>
    <row r="30" spans="1:45" s="1" customFormat="1" ht="15.75" thickBot="1" x14ac:dyDescent="0.25">
      <c r="A30" s="43"/>
      <c r="B30" s="38"/>
      <c r="C30" s="39"/>
      <c r="D30" s="39"/>
      <c r="E30" s="39"/>
      <c r="F30" s="39"/>
      <c r="G30" s="39"/>
      <c r="H30" s="44"/>
      <c r="I30" s="44"/>
      <c r="J30" s="44"/>
      <c r="K30" s="40"/>
      <c r="L30" s="40"/>
      <c r="M30" s="40"/>
      <c r="N30" s="42"/>
      <c r="O30" s="42"/>
      <c r="P30" s="41"/>
      <c r="Q30" s="40"/>
      <c r="R30" s="42"/>
      <c r="S30" s="42"/>
      <c r="T30" s="42"/>
      <c r="U30" s="42"/>
      <c r="V30" s="42"/>
      <c r="W30" s="42"/>
      <c r="X30" s="42"/>
      <c r="Y30" s="42"/>
      <c r="Z30" s="42"/>
      <c r="AA30" s="45"/>
      <c r="AB30" s="46"/>
      <c r="AC30" s="45"/>
      <c r="AD30" s="45"/>
      <c r="AE30" s="47"/>
      <c r="AF30" s="47"/>
      <c r="AG30" s="47"/>
      <c r="AH30" s="47"/>
      <c r="AI30" s="45"/>
      <c r="AJ30" s="13"/>
      <c r="AK30" s="13"/>
      <c r="AL30" s="13"/>
      <c r="AM30" s="16"/>
      <c r="AN30" s="17"/>
      <c r="AO30" s="17"/>
      <c r="AS30" s="8"/>
    </row>
    <row r="31" spans="1:45" s="1" customFormat="1" ht="21" thickBot="1" x14ac:dyDescent="0.35">
      <c r="A31" s="95" t="s">
        <v>134</v>
      </c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727" t="s">
        <v>134</v>
      </c>
      <c r="AE31" s="728"/>
      <c r="AF31" s="728"/>
      <c r="AG31" s="728"/>
      <c r="AH31" s="728"/>
      <c r="AI31" s="728"/>
      <c r="AJ31" s="13"/>
      <c r="AK31" s="585">
        <v>0.23499999999999999</v>
      </c>
      <c r="AL31" s="13"/>
      <c r="AM31" s="16"/>
      <c r="AN31" s="17"/>
      <c r="AO31" s="17"/>
    </row>
    <row r="32" spans="1:45" s="2" customFormat="1" ht="12.75" customHeight="1" thickBot="1" x14ac:dyDescent="0.25">
      <c r="A32" s="687" t="s">
        <v>1</v>
      </c>
      <c r="B32" s="687" t="s">
        <v>0</v>
      </c>
      <c r="C32" s="629" t="s">
        <v>77</v>
      </c>
      <c r="D32" s="629" t="s">
        <v>119</v>
      </c>
      <c r="E32" s="629" t="s">
        <v>127</v>
      </c>
      <c r="F32" s="629" t="s">
        <v>113</v>
      </c>
      <c r="G32" s="629" t="s">
        <v>102</v>
      </c>
      <c r="H32" s="629" t="s">
        <v>79</v>
      </c>
      <c r="I32" s="629" t="s">
        <v>148</v>
      </c>
      <c r="J32" s="627" t="s">
        <v>147</v>
      </c>
      <c r="K32" s="627" t="s">
        <v>121</v>
      </c>
      <c r="L32" s="627" t="s">
        <v>146</v>
      </c>
      <c r="M32" s="627" t="s">
        <v>147</v>
      </c>
      <c r="N32" s="720" t="s">
        <v>85</v>
      </c>
      <c r="O32" s="645" t="s">
        <v>120</v>
      </c>
      <c r="P32" s="647" t="s">
        <v>86</v>
      </c>
      <c r="Q32" s="645" t="s">
        <v>101</v>
      </c>
      <c r="R32" s="645" t="s">
        <v>84</v>
      </c>
      <c r="S32" s="629" t="s">
        <v>192</v>
      </c>
      <c r="T32" s="645" t="s">
        <v>69</v>
      </c>
      <c r="U32" s="651" t="s">
        <v>59</v>
      </c>
      <c r="V32" s="651"/>
      <c r="W32" s="651"/>
      <c r="X32" s="651"/>
      <c r="Y32" s="651"/>
      <c r="Z32" s="629" t="s">
        <v>68</v>
      </c>
      <c r="AA32" s="631" t="s">
        <v>89</v>
      </c>
      <c r="AB32" s="629" t="s">
        <v>88</v>
      </c>
      <c r="AC32" s="629" t="s">
        <v>87</v>
      </c>
      <c r="AD32" s="629" t="s">
        <v>91</v>
      </c>
      <c r="AE32" s="629" t="s">
        <v>90</v>
      </c>
      <c r="AF32" s="629" t="s">
        <v>174</v>
      </c>
      <c r="AG32" s="629" t="s">
        <v>196</v>
      </c>
      <c r="AH32" s="673" t="s">
        <v>175</v>
      </c>
      <c r="AI32" s="629" t="s">
        <v>92</v>
      </c>
      <c r="AJ32" s="629" t="s">
        <v>192</v>
      </c>
      <c r="AK32" s="631" t="s">
        <v>68</v>
      </c>
      <c r="AL32" s="629" t="s">
        <v>194</v>
      </c>
      <c r="AM32" s="629" t="s">
        <v>195</v>
      </c>
      <c r="AN32" s="17"/>
      <c r="AO32" s="17"/>
    </row>
    <row r="33" spans="1:45" s="2" customFormat="1" ht="89.25" customHeight="1" thickBot="1" x14ac:dyDescent="0.25">
      <c r="A33" s="688"/>
      <c r="B33" s="688"/>
      <c r="C33" s="630"/>
      <c r="D33" s="630"/>
      <c r="E33" s="630"/>
      <c r="F33" s="630"/>
      <c r="G33" s="630"/>
      <c r="H33" s="630"/>
      <c r="I33" s="630"/>
      <c r="J33" s="628"/>
      <c r="K33" s="628"/>
      <c r="L33" s="628"/>
      <c r="M33" s="628"/>
      <c r="N33" s="721"/>
      <c r="O33" s="646"/>
      <c r="P33" s="648"/>
      <c r="Q33" s="646"/>
      <c r="R33" s="680"/>
      <c r="S33" s="677"/>
      <c r="T33" s="731"/>
      <c r="U33" s="98" t="s">
        <v>141</v>
      </c>
      <c r="V33" s="98" t="s">
        <v>61</v>
      </c>
      <c r="W33" s="98" t="s">
        <v>62</v>
      </c>
      <c r="X33" s="98" t="s">
        <v>63</v>
      </c>
      <c r="Y33" s="145" t="s">
        <v>64</v>
      </c>
      <c r="Z33" s="677"/>
      <c r="AA33" s="719"/>
      <c r="AB33" s="677"/>
      <c r="AC33" s="677"/>
      <c r="AD33" s="677"/>
      <c r="AE33" s="677"/>
      <c r="AF33" s="630"/>
      <c r="AG33" s="630"/>
      <c r="AH33" s="630"/>
      <c r="AI33" s="677"/>
      <c r="AJ33" s="630"/>
      <c r="AK33" s="632"/>
      <c r="AL33" s="630"/>
      <c r="AM33" s="630"/>
      <c r="AN33" s="17"/>
      <c r="AO33" s="17"/>
    </row>
    <row r="34" spans="1:45" s="1" customFormat="1" ht="21.75" customHeight="1" x14ac:dyDescent="0.2">
      <c r="A34" s="340">
        <v>5080</v>
      </c>
      <c r="B34" s="493" t="s">
        <v>23</v>
      </c>
      <c r="C34" s="340">
        <v>0</v>
      </c>
      <c r="D34" s="494"/>
      <c r="E34" s="494"/>
      <c r="F34" s="494"/>
      <c r="G34" s="478">
        <v>3128</v>
      </c>
      <c r="H34" s="442">
        <f t="shared" ref="H34:H50" si="14">SUM(G34:G34)</f>
        <v>3128</v>
      </c>
      <c r="I34" s="442"/>
      <c r="J34" s="442"/>
      <c r="K34" s="345">
        <f>H34*'DATOS REFERENCIALES'!$C$4</f>
        <v>20100.528000000002</v>
      </c>
      <c r="L34" s="345"/>
      <c r="M34" s="345"/>
      <c r="N34" s="347">
        <f>LOOKUP(C34,'TABLA ANTIG.'!$A$4:$A$39,'TABLA ANTIG.'!$B$4:$B$39)*(K34)</f>
        <v>0</v>
      </c>
      <c r="O34" s="347">
        <f t="shared" ref="O34:O50" si="15">K34*0.1</f>
        <v>2010.0528000000004</v>
      </c>
      <c r="P34" s="495">
        <f>'DATOS REFERENCIALES'!$D$8</f>
        <v>8550</v>
      </c>
      <c r="Q34" s="347">
        <f>LOOKUP(C34,'TABLA ANTIG.'!$A$4:$A$39,'TABLA ANTIG.'!$B$4:$B$39)*(P34)</f>
        <v>0</v>
      </c>
      <c r="R34" s="496">
        <v>0</v>
      </c>
      <c r="S34" s="347">
        <f>'DATOS REFERENCIALES'!$D$14</f>
        <v>0</v>
      </c>
      <c r="T34" s="347">
        <f>K34+N34+O34+P34+Q34+R34+S34</f>
        <v>30660.580800000003</v>
      </c>
      <c r="U34" s="347">
        <f t="shared" ref="U34:U50" si="16">$T34*11%</f>
        <v>3372.6638880000005</v>
      </c>
      <c r="V34" s="347">
        <f t="shared" ref="V34:W50" si="17">$T34*3%</f>
        <v>919.81742400000007</v>
      </c>
      <c r="W34" s="347">
        <f t="shared" si="17"/>
        <v>919.81742400000007</v>
      </c>
      <c r="X34" s="347">
        <f t="shared" ref="X34:X50" si="18">$T34*2%</f>
        <v>613.21161600000005</v>
      </c>
      <c r="Y34" s="346">
        <f t="shared" ref="Y34:Y50" si="19">$T34*4.5%</f>
        <v>1379.726136</v>
      </c>
      <c r="Z34" s="347">
        <f t="shared" ref="Z34:Z50" si="20">SUM(U34:Y34)</f>
        <v>7205.2364880000014</v>
      </c>
      <c r="AA34" s="351">
        <f t="shared" ref="AA34:AA50" si="21">T34-Z34</f>
        <v>23455.344312000001</v>
      </c>
      <c r="AB34" s="372">
        <f>'DATOS REFERENCIALES'!$D$10</f>
        <v>3040</v>
      </c>
      <c r="AC34" s="427">
        <f>IF((IF(H34&gt;2042,('DATOS REFERENCIALES'!$D$9-(T34-U34-V34-W34-X34-Y34+AB34)+(S34-S34*0.235)),(('DATOS REFERENCIALES'!$D$9/2043)*H34)-(K34+N34+O34+P34+Q34+R34-U34-V34-W34-X34-Y34+AB34)))&lt;0,0,IF(H34&gt;2042,(('DATOS REFERENCIALES'!$D$9)-(T34-U34-V34-W34-X34-Y34+AB34)+(S34-S34*0.235)),(('DATOS REFERENCIALES'!$D$9/2043)*H34)-(K34+N34+O34+P34+Q34+R34-U34-V34-W34-X34-Y34+AB34)))</f>
        <v>7804.6556879999989</v>
      </c>
      <c r="AD34" s="347">
        <f t="shared" ref="AD34:AD50" si="22">SUM(AA34:AC34)</f>
        <v>34300</v>
      </c>
      <c r="AE34" s="352">
        <f>'DATOS REFERENCIALES'!$D$13</f>
        <v>2420</v>
      </c>
      <c r="AF34" s="374"/>
      <c r="AG34" s="351">
        <f>IF($H34&gt;2043,'DATOS REFERENCIALES'!D17,'DATOS REFERENCIALES'!D17/2043*$H34)</f>
        <v>3000</v>
      </c>
      <c r="AH34" s="350">
        <f>'DATOS REFERENCIALES'!$D$12</f>
        <v>420</v>
      </c>
      <c r="AI34" s="633">
        <f>SUM(AD34:AH34)+SUM(AD35:AH35)</f>
        <v>42423.470232120002</v>
      </c>
      <c r="AJ34" s="710">
        <f>'DATOS REFERENCIALES'!D16</f>
        <v>1544</v>
      </c>
      <c r="AK34" s="710">
        <f>AJ34*$AK$31</f>
        <v>362.84</v>
      </c>
      <c r="AL34" s="710">
        <f>AJ34-AK34</f>
        <v>1181.1600000000001</v>
      </c>
      <c r="AM34" s="708">
        <f>AI34+AL34</f>
        <v>43604.630232120006</v>
      </c>
      <c r="AN34" s="17"/>
      <c r="AO34" s="17"/>
      <c r="AS34" s="8"/>
    </row>
    <row r="35" spans="1:45" s="1" customFormat="1" ht="26.25" customHeight="1" thickBot="1" x14ac:dyDescent="0.25">
      <c r="A35" s="355">
        <v>5080</v>
      </c>
      <c r="B35" s="497" t="s">
        <v>23</v>
      </c>
      <c r="C35" s="355">
        <f>IF(C34&gt;0,C34,0)</f>
        <v>0</v>
      </c>
      <c r="D35" s="498"/>
      <c r="E35" s="498"/>
      <c r="F35" s="498"/>
      <c r="G35" s="479"/>
      <c r="H35" s="480"/>
      <c r="I35" s="355">
        <v>234.6</v>
      </c>
      <c r="J35" s="359" t="s">
        <v>150</v>
      </c>
      <c r="K35" s="360"/>
      <c r="L35" s="360">
        <f>I35*'DATOS REFERENCIALES'!$C$4</f>
        <v>1507.5396000000001</v>
      </c>
      <c r="M35" s="360">
        <f>IF(J35='DATOS REFERENCIALES'!$C$30,K34*'DATOS REFERENCIALES'!$D$30,IF(J35='DATOS REFERENCIALES'!$C$31,('DATOS REFERENCIALES'!$D$31*K34),IF(J35='DATOS REFERENCIALES'!$C$32,('DATOS REFERENCIALES'!$D$32*K34),IF(J35='DATOS REFERENCIALES'!$C$33,('DATOS REFERENCIALES'!$D$33*K34),IF(J35='DATOS REFERENCIALES'!$C$34,('DATOS REFERENCIALES'!$D$34*K34),IF(J35='DATOS REFERENCIALES'!$C$35,('DATOS REFERENCIALES'!$D$35*K34),IF(J35='DATOS REFERENCIALES'!$C$36,('DATOS REFERENCIALES'!$D$36*K34),IF(J35='DATOS REFERENCIALES'!$C$37,('DATOS REFERENCIALES'!$D$37*K34),0))))))))</f>
        <v>1206.0316800000001</v>
      </c>
      <c r="N35" s="362">
        <f>LOOKUP(C35,'TABLA ANTIG.'!$A$4:$A$39,'TABLA ANTIG.'!$B$4:$B$39)*(L35+M35)</f>
        <v>0</v>
      </c>
      <c r="O35" s="362">
        <f>(L35+M35)*0.1</f>
        <v>271.35712800000005</v>
      </c>
      <c r="P35" s="360"/>
      <c r="Q35" s="362"/>
      <c r="R35" s="362"/>
      <c r="S35" s="362"/>
      <c r="T35" s="362">
        <f>L35+M35+N35+O35+P35+Q35+R35</f>
        <v>2984.9284080000002</v>
      </c>
      <c r="U35" s="365">
        <f t="shared" si="16"/>
        <v>328.34212488000003</v>
      </c>
      <c r="V35" s="362">
        <f t="shared" si="17"/>
        <v>89.547852239999997</v>
      </c>
      <c r="W35" s="365">
        <f t="shared" si="17"/>
        <v>89.547852239999997</v>
      </c>
      <c r="X35" s="362">
        <f>$T35*2%</f>
        <v>59.698568160000008</v>
      </c>
      <c r="Y35" s="362">
        <f t="shared" si="19"/>
        <v>134.32177836</v>
      </c>
      <c r="Z35" s="362">
        <f t="shared" si="20"/>
        <v>701.45817588</v>
      </c>
      <c r="AA35" s="366">
        <f t="shared" si="21"/>
        <v>2283.4702321200002</v>
      </c>
      <c r="AB35" s="362"/>
      <c r="AC35" s="362"/>
      <c r="AD35" s="361">
        <f t="shared" si="22"/>
        <v>2283.4702321200002</v>
      </c>
      <c r="AE35" s="367"/>
      <c r="AF35" s="380"/>
      <c r="AG35" s="361"/>
      <c r="AH35" s="362"/>
      <c r="AI35" s="634"/>
      <c r="AJ35" s="711"/>
      <c r="AK35" s="711"/>
      <c r="AL35" s="711"/>
      <c r="AM35" s="709"/>
      <c r="AN35" s="17"/>
      <c r="AO35" s="17"/>
      <c r="AS35" s="8"/>
    </row>
    <row r="36" spans="1:45" s="1" customFormat="1" ht="27.75" customHeight="1" x14ac:dyDescent="0.2">
      <c r="A36" s="279">
        <v>5014</v>
      </c>
      <c r="B36" s="502" t="s">
        <v>32</v>
      </c>
      <c r="C36" s="279">
        <v>0</v>
      </c>
      <c r="D36" s="279"/>
      <c r="E36" s="279"/>
      <c r="F36" s="279"/>
      <c r="G36" s="481">
        <v>2415</v>
      </c>
      <c r="H36" s="467">
        <f t="shared" si="14"/>
        <v>2415</v>
      </c>
      <c r="I36" s="467"/>
      <c r="J36" s="467"/>
      <c r="K36" s="281">
        <f>H36*'DATOS REFERENCIALES'!$C$4</f>
        <v>15518.79</v>
      </c>
      <c r="L36" s="281"/>
      <c r="M36" s="281"/>
      <c r="N36" s="283">
        <f>LOOKUP(C36,'TABLA ANTIG.'!$A$4:$A$39,'TABLA ANTIG.'!$B$4:$B$39)*(K36)</f>
        <v>0</v>
      </c>
      <c r="O36" s="283">
        <f t="shared" si="15"/>
        <v>1551.8790000000001</v>
      </c>
      <c r="P36" s="281">
        <f>'DATOS REFERENCIALES'!$C$8</f>
        <v>4275</v>
      </c>
      <c r="Q36" s="283">
        <f>LOOKUP(C36,'TABLA ANTIG.'!$A$4:$A$39,'TABLA ANTIG.'!$B$4:$B$39)*(P36)</f>
        <v>0</v>
      </c>
      <c r="R36" s="420">
        <v>0</v>
      </c>
      <c r="S36" s="283">
        <f>'DATOS REFERENCIALES'!$C$14</f>
        <v>0</v>
      </c>
      <c r="T36" s="420">
        <f>K36+N36+O36+P36+Q36+R36+S36</f>
        <v>21345.669000000002</v>
      </c>
      <c r="U36" s="420">
        <f t="shared" si="16"/>
        <v>2348.0235900000002</v>
      </c>
      <c r="V36" s="420">
        <f t="shared" si="17"/>
        <v>640.37007000000006</v>
      </c>
      <c r="W36" s="420">
        <f t="shared" si="17"/>
        <v>640.37007000000006</v>
      </c>
      <c r="X36" s="420">
        <f t="shared" si="18"/>
        <v>426.91338000000002</v>
      </c>
      <c r="Y36" s="503">
        <f t="shared" si="19"/>
        <v>960.55510500000003</v>
      </c>
      <c r="Z36" s="420">
        <f t="shared" si="20"/>
        <v>5016.232215</v>
      </c>
      <c r="AA36" s="419">
        <f t="shared" si="21"/>
        <v>16329.436785000002</v>
      </c>
      <c r="AB36" s="420">
        <f>'DATOS REFERENCIALES'!$C$10</f>
        <v>1520</v>
      </c>
      <c r="AC36" s="420">
        <f>IF((IF(H36&gt;1119,('DATOS REFERENCIALES'!$C$9-(T36-U36-V36-W36-X36-Y36+AB36-L36-L36*0.235-(S36-S36*0.235))),(('DATOS REFERENCIALES'!$C$9/1120)*H36)-(K36+N36+O36+P36+Q36+R36-U36-V36-W36-X36-Y36+AB36-(L36-L36*0.235)-(S36*0.235))))&lt;0,0,IF(H36&gt;1119,(('DATOS REFERENCIALES'!$C$9)-(T36-U36-V36-W36-X36-Y36+AB36-(L36-L36*0.235)-(S36-S36*0.235))),(('DATOS REFERENCIALES'!$C$9/1120)*H36)-(K36+N36+O36+P36+Q36+R36-U36-V36-W36-X36-Y36+AB36)))</f>
        <v>0</v>
      </c>
      <c r="AD36" s="420">
        <f t="shared" si="22"/>
        <v>17849.436785000002</v>
      </c>
      <c r="AE36" s="533">
        <f>'DATOS REFERENCIALES'!$C$13</f>
        <v>1210</v>
      </c>
      <c r="AF36" s="404"/>
      <c r="AG36" s="419">
        <f>IF($H36&gt;1119,'DATOS REFERENCIALES'!C17,'DATOS REFERENCIALES'!C17/1120*$H36)</f>
        <v>1500</v>
      </c>
      <c r="AH36" s="420">
        <f>'DATOS REFERENCIALES'!$C$12</f>
        <v>210</v>
      </c>
      <c r="AI36" s="639">
        <f>SUM(AD36:AH36)+SUM(AD37:AH37)</f>
        <v>21748.893456270001</v>
      </c>
      <c r="AJ36" s="712">
        <f>'DATOS REFERENCIALES'!C16</f>
        <v>772</v>
      </c>
      <c r="AK36" s="712">
        <f>AJ36*$AK$31</f>
        <v>181.42</v>
      </c>
      <c r="AL36" s="712">
        <f>AJ36-AK36</f>
        <v>590.58000000000004</v>
      </c>
      <c r="AM36" s="714">
        <f>AI36+AL36</f>
        <v>22339.473456270003</v>
      </c>
      <c r="AN36" s="17"/>
      <c r="AO36" s="17"/>
      <c r="AS36" s="8"/>
    </row>
    <row r="37" spans="1:45" s="1" customFormat="1" ht="26.25" customHeight="1" thickBot="1" x14ac:dyDescent="0.25">
      <c r="A37" s="331">
        <v>5014</v>
      </c>
      <c r="B37" s="504" t="s">
        <v>32</v>
      </c>
      <c r="C37" s="291">
        <f>IF(C36&gt;0,C36,0)</f>
        <v>0</v>
      </c>
      <c r="D37" s="331"/>
      <c r="E37" s="331"/>
      <c r="F37" s="331"/>
      <c r="G37" s="487"/>
      <c r="H37" s="488"/>
      <c r="I37" s="331">
        <v>181.13</v>
      </c>
      <c r="J37" s="424"/>
      <c r="K37" s="335"/>
      <c r="L37" s="335">
        <f>I37*'DATOS REFERENCIALES'!$C$4</f>
        <v>1163.94138</v>
      </c>
      <c r="M37" s="335">
        <f>IF(J37='DATOS REFERENCIALES'!$C$30,K36*'DATOS REFERENCIALES'!$D$30,IF(J37='DATOS REFERENCIALES'!$C$31,('DATOS REFERENCIALES'!$D$31*K36),IF(J37='DATOS REFERENCIALES'!$C$32,('DATOS REFERENCIALES'!$D$32*K36),IF(J37='DATOS REFERENCIALES'!$C$33,('DATOS REFERENCIALES'!$D$33*K36),IF(J37='DATOS REFERENCIALES'!$C$34,('DATOS REFERENCIALES'!$D$34*K36),IF(J37='DATOS REFERENCIALES'!$C$35,('DATOS REFERENCIALES'!$D$35*K36),IF(J37='DATOS REFERENCIALES'!$C$36,('DATOS REFERENCIALES'!$D$36*K36),IF(J37='DATOS REFERENCIALES'!$C$37,('DATOS REFERENCIALES'!$D$37*K36),0))))))))</f>
        <v>0</v>
      </c>
      <c r="N37" s="302">
        <f>LOOKUP(C37,'TABLA ANTIG.'!$A$4:$A$39,'TABLA ANTIG.'!$B$4:$B$39)*(L37+M37)</f>
        <v>0</v>
      </c>
      <c r="O37" s="302">
        <f>(L37+M37)*0.1</f>
        <v>116.394138</v>
      </c>
      <c r="P37" s="335"/>
      <c r="Q37" s="302"/>
      <c r="R37" s="302"/>
      <c r="S37" s="302"/>
      <c r="T37" s="302">
        <f>L37+M37+N37+O37+P37+Q37+R37</f>
        <v>1280.3355179999999</v>
      </c>
      <c r="U37" s="336">
        <f t="shared" si="16"/>
        <v>140.83690697999998</v>
      </c>
      <c r="V37" s="302">
        <f t="shared" si="17"/>
        <v>38.410065539999998</v>
      </c>
      <c r="W37" s="336">
        <f t="shared" si="17"/>
        <v>38.410065539999998</v>
      </c>
      <c r="X37" s="302">
        <f>$T37*2%</f>
        <v>25.606710359999997</v>
      </c>
      <c r="Y37" s="302">
        <f t="shared" si="19"/>
        <v>57.615098309999993</v>
      </c>
      <c r="Z37" s="302">
        <f t="shared" si="20"/>
        <v>300.87884672999996</v>
      </c>
      <c r="AA37" s="337">
        <f t="shared" si="21"/>
        <v>979.4566712699999</v>
      </c>
      <c r="AB37" s="302"/>
      <c r="AC37" s="302"/>
      <c r="AD37" s="300">
        <f t="shared" si="22"/>
        <v>979.4566712699999</v>
      </c>
      <c r="AE37" s="531"/>
      <c r="AF37" s="410"/>
      <c r="AG37" s="300"/>
      <c r="AH37" s="302"/>
      <c r="AI37" s="640"/>
      <c r="AJ37" s="718"/>
      <c r="AK37" s="718"/>
      <c r="AL37" s="718"/>
      <c r="AM37" s="715"/>
      <c r="AN37" s="17"/>
      <c r="AO37" s="17"/>
      <c r="AS37" s="8"/>
    </row>
    <row r="38" spans="1:45" s="1" customFormat="1" ht="25.5" customHeight="1" x14ac:dyDescent="0.2">
      <c r="A38" s="305">
        <v>5013</v>
      </c>
      <c r="B38" s="499" t="s">
        <v>51</v>
      </c>
      <c r="C38" s="305">
        <v>0</v>
      </c>
      <c r="D38" s="305"/>
      <c r="E38" s="305"/>
      <c r="F38" s="305"/>
      <c r="G38" s="490">
        <v>2421</v>
      </c>
      <c r="H38" s="458">
        <f t="shared" si="14"/>
        <v>2421</v>
      </c>
      <c r="I38" s="458"/>
      <c r="J38" s="458"/>
      <c r="K38" s="307">
        <f>H38*'DATOS REFERENCIALES'!$C$4</f>
        <v>15557.346</v>
      </c>
      <c r="L38" s="307"/>
      <c r="M38" s="307"/>
      <c r="N38" s="309">
        <f>LOOKUP(C38,'TABLA ANTIG.'!$A$4:$A$39,'TABLA ANTIG.'!$B$4:$B$39)*(K38)</f>
        <v>0</v>
      </c>
      <c r="O38" s="309">
        <f t="shared" si="15"/>
        <v>1555.7346</v>
      </c>
      <c r="P38" s="307">
        <f>'DATOS REFERENCIALES'!$C$8</f>
        <v>4275</v>
      </c>
      <c r="Q38" s="309">
        <f>LOOKUP(C38,'TABLA ANTIG.'!$A$4:$A$39,'TABLA ANTIG.'!$B$4:$B$39)*(P38)</f>
        <v>0</v>
      </c>
      <c r="R38" s="416">
        <v>0</v>
      </c>
      <c r="S38" s="309">
        <f>'DATOS REFERENCIALES'!$C$14</f>
        <v>0</v>
      </c>
      <c r="T38" s="416">
        <f>K38+N38+O38+P38+Q38+R38+S38</f>
        <v>21388.080600000001</v>
      </c>
      <c r="U38" s="416">
        <f t="shared" si="16"/>
        <v>2352.688866</v>
      </c>
      <c r="V38" s="416">
        <f t="shared" si="17"/>
        <v>641.64241800000002</v>
      </c>
      <c r="W38" s="416">
        <f t="shared" si="17"/>
        <v>641.64241800000002</v>
      </c>
      <c r="X38" s="416">
        <f t="shared" si="18"/>
        <v>427.76161200000001</v>
      </c>
      <c r="Y38" s="500">
        <f t="shared" si="19"/>
        <v>962.46362699999997</v>
      </c>
      <c r="Z38" s="416">
        <f t="shared" si="20"/>
        <v>5026.1989409999996</v>
      </c>
      <c r="AA38" s="415">
        <f t="shared" si="21"/>
        <v>16361.881659000002</v>
      </c>
      <c r="AB38" s="416">
        <f>'DATOS REFERENCIALES'!$C$10</f>
        <v>1520</v>
      </c>
      <c r="AC38" s="416">
        <f>IF((IF(H38&gt;1119,('DATOS REFERENCIALES'!$C$9-(T38-U38-V38-W38-X38-Y38+AB38-L38-L38*0.235-(S38-S38*0.235))),(('DATOS REFERENCIALES'!$C$9/1120)*H38)-(K38+N38+O38+P38+Q38+R38-U38-V38-W38-X38-Y38+AB38-(L38-L38*0.235)-(S38*0.235))))&lt;0,0,IF(H38&gt;1119,(('DATOS REFERENCIALES'!$C$9)-(T38-U38-V38-W38-X38-Y38+AB38-(L38-L38*0.235)-(S38-S38*0.235))),(('DATOS REFERENCIALES'!$C$9/1120)*H38)-(K38+N38+O38+P38+Q38+R38-U38-V38-W38-X38-Y38+AB38)))</f>
        <v>0</v>
      </c>
      <c r="AD38" s="416">
        <f t="shared" si="22"/>
        <v>17881.881659000002</v>
      </c>
      <c r="AE38" s="534">
        <f>'DATOS REFERENCIALES'!$C$13</f>
        <v>1210</v>
      </c>
      <c r="AF38" s="387"/>
      <c r="AG38" s="415">
        <f>IF($H38&gt;1119,'DATOS REFERENCIALES'!C17,'DATOS REFERENCIALES'!C17/1120*$H38)</f>
        <v>1500</v>
      </c>
      <c r="AH38" s="416">
        <f>'DATOS REFERENCIALES'!$C$12</f>
        <v>210</v>
      </c>
      <c r="AI38" s="623">
        <f>SUM(AD38:AH38)+SUM(AD39:AH39)</f>
        <v>21783.771695820004</v>
      </c>
      <c r="AJ38" s="716">
        <f>'DATOS REFERENCIALES'!C16</f>
        <v>772</v>
      </c>
      <c r="AK38" s="716">
        <f>AJ38*$AK$31</f>
        <v>181.42</v>
      </c>
      <c r="AL38" s="716">
        <f>AJ38-AK38</f>
        <v>590.58000000000004</v>
      </c>
      <c r="AM38" s="706">
        <f>AI38+AL38</f>
        <v>22374.351695820005</v>
      </c>
      <c r="AN38" s="17"/>
      <c r="AO38" s="17"/>
      <c r="AS38" s="8"/>
    </row>
    <row r="39" spans="1:45" s="1" customFormat="1" ht="30.75" customHeight="1" thickBot="1" x14ac:dyDescent="0.25">
      <c r="A39" s="317">
        <v>5013</v>
      </c>
      <c r="B39" s="501" t="s">
        <v>51</v>
      </c>
      <c r="C39" s="317">
        <f>IF(C38&gt;0,C38,0)</f>
        <v>0</v>
      </c>
      <c r="D39" s="317"/>
      <c r="E39" s="317"/>
      <c r="F39" s="317"/>
      <c r="G39" s="491"/>
      <c r="H39" s="492"/>
      <c r="I39" s="317">
        <v>181.58</v>
      </c>
      <c r="J39" s="418"/>
      <c r="K39" s="319"/>
      <c r="L39" s="319">
        <f>I39*'DATOS REFERENCIALES'!$C$4</f>
        <v>1166.8330800000001</v>
      </c>
      <c r="M39" s="319">
        <f>IF(J39='DATOS REFERENCIALES'!$C$30,K38*'DATOS REFERENCIALES'!$D$30,IF(J39='DATOS REFERENCIALES'!$C$31,('DATOS REFERENCIALES'!$D$31*K38),IF(J39='DATOS REFERENCIALES'!$C$32,('DATOS REFERENCIALES'!$D$32*K38),IF(J39='DATOS REFERENCIALES'!$C$33,('DATOS REFERENCIALES'!$D$33*K38),IF(J39='DATOS REFERENCIALES'!$C$34,('DATOS REFERENCIALES'!$D$34*K38),IF(J39='DATOS REFERENCIALES'!$C$35,('DATOS REFERENCIALES'!$D$35*K38),IF(J39='DATOS REFERENCIALES'!$C$36,('DATOS REFERENCIALES'!$D$36*K38),IF(J39='DATOS REFERENCIALES'!$C$37,('DATOS REFERENCIALES'!$D$37*K38),0))))))))</f>
        <v>0</v>
      </c>
      <c r="N39" s="323">
        <f>LOOKUP(C39,'TABLA ANTIG.'!$A$4:$A$39,'TABLA ANTIG.'!$B$4:$B$39)*(L39+M39)</f>
        <v>0</v>
      </c>
      <c r="O39" s="323">
        <f>(L39+M39)*0.1</f>
        <v>116.68330800000001</v>
      </c>
      <c r="P39" s="319"/>
      <c r="Q39" s="323"/>
      <c r="R39" s="323"/>
      <c r="S39" s="463"/>
      <c r="T39" s="323">
        <f>L39+M39+N39+O39+P39+Q39+R39</f>
        <v>1283.516388</v>
      </c>
      <c r="U39" s="324">
        <f t="shared" si="16"/>
        <v>141.18680268</v>
      </c>
      <c r="V39" s="323">
        <f t="shared" si="17"/>
        <v>38.505491639999995</v>
      </c>
      <c r="W39" s="324">
        <f t="shared" si="17"/>
        <v>38.505491639999995</v>
      </c>
      <c r="X39" s="323">
        <f>$T39*2%</f>
        <v>25.670327759999999</v>
      </c>
      <c r="Y39" s="323">
        <f t="shared" si="19"/>
        <v>57.758237459999997</v>
      </c>
      <c r="Z39" s="323">
        <f t="shared" si="20"/>
        <v>301.62635117999997</v>
      </c>
      <c r="AA39" s="326">
        <f t="shared" si="21"/>
        <v>981.89003681999998</v>
      </c>
      <c r="AB39" s="323"/>
      <c r="AC39" s="463"/>
      <c r="AD39" s="325">
        <f t="shared" si="22"/>
        <v>981.89003681999998</v>
      </c>
      <c r="AE39" s="327"/>
      <c r="AF39" s="394"/>
      <c r="AG39" s="325"/>
      <c r="AH39" s="323"/>
      <c r="AI39" s="663"/>
      <c r="AJ39" s="717"/>
      <c r="AK39" s="717"/>
      <c r="AL39" s="717"/>
      <c r="AM39" s="707"/>
      <c r="AN39" s="17"/>
      <c r="AO39" s="17"/>
      <c r="AS39" s="8"/>
    </row>
    <row r="40" spans="1:45" s="1" customFormat="1" ht="27.75" customHeight="1" x14ac:dyDescent="0.2">
      <c r="A40" s="247">
        <v>5033</v>
      </c>
      <c r="B40" s="122" t="s">
        <v>33</v>
      </c>
      <c r="C40" s="120">
        <v>0</v>
      </c>
      <c r="D40" s="120"/>
      <c r="E40" s="120"/>
      <c r="F40" s="120"/>
      <c r="G40" s="245">
        <v>1222</v>
      </c>
      <c r="H40" s="246">
        <f t="shared" si="14"/>
        <v>1222</v>
      </c>
      <c r="I40" s="246"/>
      <c r="J40" s="246"/>
      <c r="K40" s="106">
        <f>H40*'DATOS REFERENCIALES'!$C$4</f>
        <v>7852.5720000000001</v>
      </c>
      <c r="L40" s="106"/>
      <c r="M40" s="106"/>
      <c r="N40" s="107">
        <f>LOOKUP(C40,'TABLA ANTIG.'!$A$4:$A$39,'TABLA ANTIG.'!$B$4:$B$39)*(K40)</f>
        <v>0</v>
      </c>
      <c r="O40" s="114">
        <f t="shared" si="15"/>
        <v>785.25720000000001</v>
      </c>
      <c r="P40" s="106">
        <f>'DATOS REFERENCIALES'!$C$8</f>
        <v>4275</v>
      </c>
      <c r="Q40" s="107">
        <f>LOOKUP(C40,'TABLA ANTIG.'!$A$4:$A$39,'TABLA ANTIG.'!$B$4:$B$39)*(P40)</f>
        <v>0</v>
      </c>
      <c r="R40" s="99">
        <v>0</v>
      </c>
      <c r="S40" s="197">
        <f>'DATOS REFERENCIALES'!$C$14</f>
        <v>0</v>
      </c>
      <c r="T40" s="549">
        <f t="shared" ref="T40:T50" si="23">K40+N40+O40+P40+Q40+R40+S40</f>
        <v>12912.8292</v>
      </c>
      <c r="U40" s="27">
        <f t="shared" si="16"/>
        <v>1420.411212</v>
      </c>
      <c r="V40" s="27">
        <f t="shared" si="17"/>
        <v>387.38487599999996</v>
      </c>
      <c r="W40" s="27">
        <f t="shared" si="17"/>
        <v>387.38487599999996</v>
      </c>
      <c r="X40" s="27">
        <f t="shared" si="18"/>
        <v>258.25658400000003</v>
      </c>
      <c r="Y40" s="157">
        <f t="shared" si="19"/>
        <v>581.077314</v>
      </c>
      <c r="Z40" s="27">
        <f t="shared" si="20"/>
        <v>3034.5148620000004</v>
      </c>
      <c r="AA40" s="131">
        <f t="shared" si="21"/>
        <v>9878.3143380000001</v>
      </c>
      <c r="AB40" s="148">
        <f>'DATOS REFERENCIALES'!$C$10</f>
        <v>1520</v>
      </c>
      <c r="AC40" s="79">
        <f>IF((IF(H40&gt;1119,('DATOS REFERENCIALES'!$C$9-(T40-U40-V40-W40-X40-Y40+AB40-L40-L40*0.235-(S40-S40*0.235))),(('DATOS REFERENCIALES'!$C$9/1120)*H40)-(K40+N40+O40+P40+Q40+R40-U40-V40-W40-X40-Y40+AB40-(L40-L40*0.235)-(S40*0.235))))&lt;0,0,IF(H40&gt;1119,(('DATOS REFERENCIALES'!$C$9)-(T40-U40-V40-W40-X40-Y40+AB40-(L40-L40*0.235)-(S40-S40*0.235))),(('DATOS REFERENCIALES'!$C$9/1120)*H40)-(K40+N40+O40+P40+Q40+R40-U40-V40-W40-X40-Y40+AB40)))</f>
        <v>5751.6856619999999</v>
      </c>
      <c r="AD40" s="131">
        <f t="shared" si="22"/>
        <v>17150</v>
      </c>
      <c r="AE40" s="92">
        <f>'DATOS REFERENCIALES'!$C$13</f>
        <v>1210</v>
      </c>
      <c r="AF40" s="272"/>
      <c r="AG40" s="79">
        <f>IF($H40&gt;1119,'DATOS REFERENCIALES'!C17,'DATOS REFERENCIALES'!C17/1120*$H40)</f>
        <v>1500</v>
      </c>
      <c r="AH40" s="80">
        <f>'DATOS REFERENCIALES'!$C$12</f>
        <v>210</v>
      </c>
      <c r="AI40" s="148">
        <f t="shared" ref="AI40:AI50" si="24">SUM(AD40:AH40)</f>
        <v>20070</v>
      </c>
      <c r="AJ40" s="596">
        <f>'DATOS REFERENCIALES'!C16</f>
        <v>772</v>
      </c>
      <c r="AK40" s="596">
        <f>AJ40*$AK$31</f>
        <v>181.42</v>
      </c>
      <c r="AL40" s="596">
        <f>AJ40-AK40</f>
        <v>590.58000000000004</v>
      </c>
      <c r="AM40" s="596">
        <f>AI40+AL40</f>
        <v>20660.580000000002</v>
      </c>
      <c r="AN40" s="17"/>
      <c r="AO40" s="17"/>
      <c r="AS40" s="8"/>
    </row>
    <row r="41" spans="1:45" s="1" customFormat="1" ht="25.5" customHeight="1" x14ac:dyDescent="0.2">
      <c r="A41" s="248">
        <v>5029</v>
      </c>
      <c r="B41" s="121" t="s">
        <v>34</v>
      </c>
      <c r="C41" s="35">
        <v>0</v>
      </c>
      <c r="D41" s="35"/>
      <c r="E41" s="35"/>
      <c r="F41" s="35"/>
      <c r="G41" s="62">
        <v>1120</v>
      </c>
      <c r="H41" s="49">
        <f t="shared" si="14"/>
        <v>1120</v>
      </c>
      <c r="I41" s="49"/>
      <c r="J41" s="49"/>
      <c r="K41" s="90">
        <f>H41*'DATOS REFERENCIALES'!$C$4</f>
        <v>7197.12</v>
      </c>
      <c r="L41" s="90"/>
      <c r="M41" s="90"/>
      <c r="N41" s="80">
        <f>LOOKUP(C41,'TABLA ANTIG.'!$A$4:$A$39,'TABLA ANTIG.'!$B$4:$B$39)*(K41)</f>
        <v>0</v>
      </c>
      <c r="O41" s="27">
        <f t="shared" si="15"/>
        <v>719.71199999999999</v>
      </c>
      <c r="P41" s="90">
        <f>'DATOS REFERENCIALES'!$C$8</f>
        <v>4275</v>
      </c>
      <c r="Q41" s="80">
        <f>LOOKUP(C41,'TABLA ANTIG.'!$A$4:$A$39,'TABLA ANTIG.'!$B$4:$B$39)*(P41)</f>
        <v>0</v>
      </c>
      <c r="R41" s="99">
        <v>0</v>
      </c>
      <c r="S41" s="80">
        <f>'DATOS REFERENCIALES'!$C$14</f>
        <v>0</v>
      </c>
      <c r="T41" s="27">
        <f t="shared" si="23"/>
        <v>12191.832</v>
      </c>
      <c r="U41" s="27">
        <f t="shared" si="16"/>
        <v>1341.1015199999999</v>
      </c>
      <c r="V41" s="27">
        <f t="shared" si="17"/>
        <v>365.75495999999998</v>
      </c>
      <c r="W41" s="27">
        <f t="shared" si="17"/>
        <v>365.75495999999998</v>
      </c>
      <c r="X41" s="27">
        <f t="shared" si="18"/>
        <v>243.83664000000002</v>
      </c>
      <c r="Y41" s="157">
        <f t="shared" si="19"/>
        <v>548.63243999999997</v>
      </c>
      <c r="Z41" s="27">
        <f t="shared" si="20"/>
        <v>2865.0805199999995</v>
      </c>
      <c r="AA41" s="131">
        <f t="shared" si="21"/>
        <v>9326.7514800000008</v>
      </c>
      <c r="AB41" s="148">
        <f>'DATOS REFERENCIALES'!$C$10</f>
        <v>1520</v>
      </c>
      <c r="AC41" s="80">
        <f>IF((IF(H41&gt;1119,('DATOS REFERENCIALES'!$C$9-(T41-U41-V41-W41-X41-Y41+AB41-L41-L41*0.235-(S41-S41*0.235))),(('DATOS REFERENCIALES'!$C$9/1120)*H41)-(K41+N41+O41+P41+Q41+R41-U41-V41-W41-X41-Y41+AB41-(L41-L41*0.235)-(S41*0.235))))&lt;0,0,IF(H41&gt;1119,(('DATOS REFERENCIALES'!$C$9)-(T41-U41-V41-W41-X41-Y41+AB41-(L41-L41*0.235)-(S41-S41*0.235))),(('DATOS REFERENCIALES'!$C$9/1120)*H41)-(K41+N41+O41+P41+Q41+R41-U41-V41-W41-X41-Y41+AB41)))</f>
        <v>6303.2485199999992</v>
      </c>
      <c r="AD41" s="131">
        <f t="shared" si="22"/>
        <v>17150</v>
      </c>
      <c r="AE41" s="92">
        <f>'DATOS REFERENCIALES'!$C$13</f>
        <v>1210</v>
      </c>
      <c r="AF41" s="275"/>
      <c r="AG41" s="80">
        <f>IF($H41&gt;1119,'DATOS REFERENCIALES'!C17,'DATOS REFERENCIALES'!C17/1120*$H41)</f>
        <v>1500</v>
      </c>
      <c r="AH41" s="80">
        <f>'DATOS REFERENCIALES'!$C$12</f>
        <v>210</v>
      </c>
      <c r="AI41" s="148">
        <f t="shared" si="24"/>
        <v>20070</v>
      </c>
      <c r="AJ41" s="598">
        <f>'DATOS REFERENCIALES'!$C$16</f>
        <v>772</v>
      </c>
      <c r="AK41" s="598">
        <f t="shared" ref="AK41:AK50" si="25">AJ41*$AK$31</f>
        <v>181.42</v>
      </c>
      <c r="AL41" s="598">
        <f t="shared" ref="AL41:AL50" si="26">AJ41-AK41</f>
        <v>590.58000000000004</v>
      </c>
      <c r="AM41" s="598">
        <f t="shared" ref="AM41:AM50" si="27">AI41+AL41</f>
        <v>20660.580000000002</v>
      </c>
      <c r="AN41" s="17"/>
      <c r="AO41" s="17"/>
      <c r="AS41" s="8"/>
    </row>
    <row r="42" spans="1:45" s="1" customFormat="1" ht="27.75" customHeight="1" x14ac:dyDescent="0.2">
      <c r="A42" s="35">
        <v>5028</v>
      </c>
      <c r="B42" s="183" t="s">
        <v>35</v>
      </c>
      <c r="C42" s="35">
        <v>0</v>
      </c>
      <c r="D42" s="37"/>
      <c r="E42" s="37"/>
      <c r="F42" s="37"/>
      <c r="G42" s="63">
        <v>1222</v>
      </c>
      <c r="H42" s="48">
        <f t="shared" si="14"/>
        <v>1222</v>
      </c>
      <c r="I42" s="48"/>
      <c r="J42" s="48"/>
      <c r="K42" s="90">
        <f>H42*'DATOS REFERENCIALES'!$C$4</f>
        <v>7852.5720000000001</v>
      </c>
      <c r="L42" s="90"/>
      <c r="M42" s="90"/>
      <c r="N42" s="80">
        <f>LOOKUP(C42,'TABLA ANTIG.'!$A$4:$A$39,'TABLA ANTIG.'!$B$4:$B$39)*(K42)</f>
        <v>0</v>
      </c>
      <c r="O42" s="27">
        <f t="shared" si="15"/>
        <v>785.25720000000001</v>
      </c>
      <c r="P42" s="90">
        <f>'DATOS REFERENCIALES'!$C$8</f>
        <v>4275</v>
      </c>
      <c r="Q42" s="80">
        <f>LOOKUP(C42,'TABLA ANTIG.'!$A$4:$A$39,'TABLA ANTIG.'!$B$4:$B$39)*(P42)</f>
        <v>0</v>
      </c>
      <c r="R42" s="99">
        <v>0</v>
      </c>
      <c r="S42" s="80">
        <f>'DATOS REFERENCIALES'!$C$14</f>
        <v>0</v>
      </c>
      <c r="T42" s="27">
        <f t="shared" si="23"/>
        <v>12912.8292</v>
      </c>
      <c r="U42" s="27">
        <f t="shared" si="16"/>
        <v>1420.411212</v>
      </c>
      <c r="V42" s="27">
        <f t="shared" si="17"/>
        <v>387.38487599999996</v>
      </c>
      <c r="W42" s="27">
        <f t="shared" si="17"/>
        <v>387.38487599999996</v>
      </c>
      <c r="X42" s="27">
        <f t="shared" si="18"/>
        <v>258.25658400000003</v>
      </c>
      <c r="Y42" s="157">
        <f t="shared" si="19"/>
        <v>581.077314</v>
      </c>
      <c r="Z42" s="27">
        <f t="shared" si="20"/>
        <v>3034.5148620000004</v>
      </c>
      <c r="AA42" s="131">
        <f t="shared" si="21"/>
        <v>9878.3143380000001</v>
      </c>
      <c r="AB42" s="148">
        <f>'DATOS REFERENCIALES'!$C$10</f>
        <v>1520</v>
      </c>
      <c r="AC42" s="80">
        <f>IF((IF(H42&gt;1119,('DATOS REFERENCIALES'!$C$9-(T42-U42-V42-W42-X42-Y42+AB42-L42-L42*0.235-(S42-S42*0.235))),(('DATOS REFERENCIALES'!$C$9/1120)*H42)-(K42+N42+O42+P42+Q42+R42-U42-V42-W42-X42-Y42+AB42-(L42-L42*0.235)-(S42*0.235))))&lt;0,0,IF(H42&gt;1119,(('DATOS REFERENCIALES'!$C$9)-(T42-U42-V42-W42-X42-Y42+AB42-(L42-L42*0.235)-(S42-S42*0.235))),(('DATOS REFERENCIALES'!$C$9/1120)*H42)-(K42+N42+O42+P42+Q42+R42-U42-V42-W42-X42-Y42+AB42)))</f>
        <v>5751.6856619999999</v>
      </c>
      <c r="AD42" s="131">
        <f t="shared" si="22"/>
        <v>17150</v>
      </c>
      <c r="AE42" s="92">
        <f>'DATOS REFERENCIALES'!$C$13</f>
        <v>1210</v>
      </c>
      <c r="AF42" s="275"/>
      <c r="AG42" s="80">
        <f>IF($H42&gt;1119,'DATOS REFERENCIALES'!C17,'DATOS REFERENCIALES'!C17/1120*$H42)</f>
        <v>1500</v>
      </c>
      <c r="AH42" s="80">
        <f>'DATOS REFERENCIALES'!$C$12</f>
        <v>210</v>
      </c>
      <c r="AI42" s="148">
        <f t="shared" si="24"/>
        <v>20070</v>
      </c>
      <c r="AJ42" s="598">
        <f>'DATOS REFERENCIALES'!$C$16</f>
        <v>772</v>
      </c>
      <c r="AK42" s="598">
        <f t="shared" si="25"/>
        <v>181.42</v>
      </c>
      <c r="AL42" s="598">
        <f t="shared" si="26"/>
        <v>590.58000000000004</v>
      </c>
      <c r="AM42" s="598">
        <f t="shared" si="27"/>
        <v>20660.580000000002</v>
      </c>
      <c r="AN42" s="17"/>
      <c r="AO42" s="17"/>
      <c r="AS42" s="8"/>
    </row>
    <row r="43" spans="1:45" s="1" customFormat="1" ht="21.75" customHeight="1" x14ac:dyDescent="0.2">
      <c r="A43" s="35">
        <v>5035</v>
      </c>
      <c r="B43" s="183" t="s">
        <v>36</v>
      </c>
      <c r="C43" s="35">
        <v>0</v>
      </c>
      <c r="D43" s="37"/>
      <c r="E43" s="37"/>
      <c r="F43" s="37"/>
      <c r="G43" s="63">
        <v>1032</v>
      </c>
      <c r="H43" s="48">
        <f t="shared" si="14"/>
        <v>1032</v>
      </c>
      <c r="I43" s="48"/>
      <c r="J43" s="48"/>
      <c r="K43" s="90">
        <f>H43*'DATOS REFERENCIALES'!$C$4</f>
        <v>6631.6320000000005</v>
      </c>
      <c r="L43" s="90"/>
      <c r="M43" s="90"/>
      <c r="N43" s="80">
        <f>LOOKUP(C43,'TABLA ANTIG.'!$A$4:$A$39,'TABLA ANTIG.'!$B$4:$B$39)*(K43)</f>
        <v>0</v>
      </c>
      <c r="O43" s="27">
        <f t="shared" si="15"/>
        <v>663.16320000000007</v>
      </c>
      <c r="P43" s="90">
        <f>'DATOS REFERENCIALES'!$C$8</f>
        <v>4275</v>
      </c>
      <c r="Q43" s="80">
        <f>LOOKUP(C43,'TABLA ANTIG.'!$A$4:$A$39,'TABLA ANTIG.'!$B$4:$B$39)*(P43)</f>
        <v>0</v>
      </c>
      <c r="R43" s="148">
        <v>0</v>
      </c>
      <c r="S43" s="80">
        <f>'DATOS REFERENCIALES'!$C$14</f>
        <v>0</v>
      </c>
      <c r="T43" s="27">
        <f t="shared" si="23"/>
        <v>11569.7952</v>
      </c>
      <c r="U43" s="80">
        <f t="shared" si="16"/>
        <v>1272.6774720000001</v>
      </c>
      <c r="V43" s="80">
        <f t="shared" si="17"/>
        <v>347.09385600000002</v>
      </c>
      <c r="W43" s="80">
        <f t="shared" si="17"/>
        <v>347.09385600000002</v>
      </c>
      <c r="X43" s="80">
        <f t="shared" si="18"/>
        <v>231.395904</v>
      </c>
      <c r="Y43" s="152">
        <f t="shared" si="19"/>
        <v>520.64078400000005</v>
      </c>
      <c r="Z43" s="27">
        <f t="shared" si="20"/>
        <v>2718.9018720000004</v>
      </c>
      <c r="AA43" s="131">
        <f t="shared" si="21"/>
        <v>8850.8933280000001</v>
      </c>
      <c r="AB43" s="148">
        <f>'DATOS REFERENCIALES'!$C$10</f>
        <v>1520</v>
      </c>
      <c r="AC43" s="80">
        <f>IF((IF(H43&gt;1119,('DATOS REFERENCIALES'!$C$9-(T43-U43-V43-W43-X43-Y43+AB43-L43-L43*0.235-(S43-S43*0.235))),(('DATOS REFERENCIALES'!$C$9/1120)*H43)-(K43+N43+O43+P43+Q43+R43-U43-V43-W43-X43-Y43+AB43-(L43-L43*0.235)-(S43*0.235))))&lt;0,0,IF(H43&gt;1119,(('DATOS REFERENCIALES'!$C$9)-(T43-U43-V43-W43-X43-Y43+AB43-(L43-L43*0.235)-(S43-S43*0.235))),(('DATOS REFERENCIALES'!$C$9/1120)*H43)-(K43+N43+O43+P43+Q43+R43-U43-V43-W43-X43-Y43+AB43)))</f>
        <v>5431.6066719999981</v>
      </c>
      <c r="AD43" s="131">
        <f>SUM(AA43:AC43)</f>
        <v>15802.499999999998</v>
      </c>
      <c r="AE43" s="92">
        <f>'DATOS REFERENCIALES'!$C$13</f>
        <v>1210</v>
      </c>
      <c r="AF43" s="275"/>
      <c r="AG43" s="80">
        <f>IF($H43&gt;1119,'DATOS REFERENCIALES'!C17,'DATOS REFERENCIALES'!C17/1120*$H43)</f>
        <v>1382.1428571428571</v>
      </c>
      <c r="AH43" s="80">
        <f>'DATOS REFERENCIALES'!$C$12</f>
        <v>210</v>
      </c>
      <c r="AI43" s="148">
        <f t="shared" si="24"/>
        <v>18604.642857142859</v>
      </c>
      <c r="AJ43" s="598">
        <f>'DATOS REFERENCIALES'!$C$16</f>
        <v>772</v>
      </c>
      <c r="AK43" s="598">
        <f t="shared" si="25"/>
        <v>181.42</v>
      </c>
      <c r="AL43" s="598">
        <f t="shared" si="26"/>
        <v>590.58000000000004</v>
      </c>
      <c r="AM43" s="598">
        <f t="shared" si="27"/>
        <v>19195.22285714286</v>
      </c>
      <c r="AN43" s="17"/>
      <c r="AO43" s="17"/>
      <c r="AS43" s="8"/>
    </row>
    <row r="44" spans="1:45" s="1" customFormat="1" ht="21.75" customHeight="1" x14ac:dyDescent="0.2">
      <c r="A44" s="35">
        <v>5051</v>
      </c>
      <c r="B44" s="183" t="s">
        <v>37</v>
      </c>
      <c r="C44" s="35">
        <v>0</v>
      </c>
      <c r="D44" s="35"/>
      <c r="E44" s="35"/>
      <c r="F44" s="35"/>
      <c r="G44" s="62">
        <v>929</v>
      </c>
      <c r="H44" s="49">
        <f t="shared" si="14"/>
        <v>929</v>
      </c>
      <c r="I44" s="49"/>
      <c r="J44" s="49"/>
      <c r="K44" s="90">
        <f>H44*'DATOS REFERENCIALES'!$C$4</f>
        <v>5969.7539999999999</v>
      </c>
      <c r="L44" s="90"/>
      <c r="M44" s="90"/>
      <c r="N44" s="80">
        <f>LOOKUP(C44,'TABLA ANTIG.'!$A$4:$A$39,'TABLA ANTIG.'!$B$4:$B$39)*(K44)</f>
        <v>0</v>
      </c>
      <c r="O44" s="27">
        <f t="shared" si="15"/>
        <v>596.97540000000004</v>
      </c>
      <c r="P44" s="90">
        <f>'DATOS REFERENCIALES'!$C$8</f>
        <v>4275</v>
      </c>
      <c r="Q44" s="80">
        <f>LOOKUP(C44,'TABLA ANTIG.'!$A$4:$A$39,'TABLA ANTIG.'!$B$4:$B$39)*(P44)</f>
        <v>0</v>
      </c>
      <c r="R44" s="99">
        <v>0</v>
      </c>
      <c r="S44" s="80">
        <f>'DATOS REFERENCIALES'!$C$14</f>
        <v>0</v>
      </c>
      <c r="T44" s="27">
        <f t="shared" si="23"/>
        <v>10841.7294</v>
      </c>
      <c r="U44" s="27">
        <f t="shared" si="16"/>
        <v>1192.590234</v>
      </c>
      <c r="V44" s="27">
        <f t="shared" si="17"/>
        <v>325.25188199999997</v>
      </c>
      <c r="W44" s="27">
        <f t="shared" si="17"/>
        <v>325.25188199999997</v>
      </c>
      <c r="X44" s="27">
        <f t="shared" si="18"/>
        <v>216.834588</v>
      </c>
      <c r="Y44" s="157">
        <f t="shared" si="19"/>
        <v>487.87782299999998</v>
      </c>
      <c r="Z44" s="27">
        <f t="shared" si="20"/>
        <v>2547.8064089999998</v>
      </c>
      <c r="AA44" s="131">
        <f t="shared" si="21"/>
        <v>8293.9229909999995</v>
      </c>
      <c r="AB44" s="148">
        <f>'DATOS REFERENCIALES'!$C$10</f>
        <v>1520</v>
      </c>
      <c r="AC44" s="80">
        <f>IF((IF(H44&gt;1119,('DATOS REFERENCIALES'!$C$9-(T44-U44-V44-W44-X44-Y44+AB44-L44-L44*0.235-(S44-S44*0.235))),(('DATOS REFERENCIALES'!$C$9/1120)*H44)-(K44+N44+O44+P44+Q44+R44-U44-V44-W44-X44-Y44+AB44-(L44-L44*0.235)-(S44*0.235))))&lt;0,0,IF(H44&gt;1119,(('DATOS REFERENCIALES'!$C$9)-(T44-U44-V44-W44-X44-Y44+AB44-(L44-L44*0.235)-(S44-S44*0.235))),(('DATOS REFERENCIALES'!$C$9/1120)*H44)-(K44+N44+O44+P44+Q44+R44-U44-V44-W44-X44-Y44+AB44)))</f>
        <v>4411.3895090000005</v>
      </c>
      <c r="AD44" s="131">
        <f t="shared" si="22"/>
        <v>14225.3125</v>
      </c>
      <c r="AE44" s="92">
        <f>'DATOS REFERENCIALES'!$C$13</f>
        <v>1210</v>
      </c>
      <c r="AF44" s="275"/>
      <c r="AG44" s="80">
        <f>IF($H44&gt;1119,'DATOS REFERENCIALES'!C17,'DATOS REFERENCIALES'!C17/1120*$H44)</f>
        <v>1244.1964285714284</v>
      </c>
      <c r="AH44" s="80">
        <f>'DATOS REFERENCIALES'!$C$12</f>
        <v>210</v>
      </c>
      <c r="AI44" s="148">
        <f t="shared" si="24"/>
        <v>16889.508928571428</v>
      </c>
      <c r="AJ44" s="598">
        <f>'DATOS REFERENCIALES'!$C$16</f>
        <v>772</v>
      </c>
      <c r="AK44" s="598">
        <f t="shared" si="25"/>
        <v>181.42</v>
      </c>
      <c r="AL44" s="598">
        <f t="shared" si="26"/>
        <v>590.58000000000004</v>
      </c>
      <c r="AM44" s="598">
        <f t="shared" si="27"/>
        <v>17480.088928571429</v>
      </c>
      <c r="AN44" s="17"/>
      <c r="AO44" s="17"/>
      <c r="AS44" s="8"/>
    </row>
    <row r="45" spans="1:45" s="1" customFormat="1" ht="21.75" customHeight="1" x14ac:dyDescent="0.2">
      <c r="A45" s="75">
        <v>1557</v>
      </c>
      <c r="B45" s="110" t="s">
        <v>75</v>
      </c>
      <c r="C45" s="35">
        <v>0</v>
      </c>
      <c r="D45" s="35"/>
      <c r="E45" s="35"/>
      <c r="F45" s="35"/>
      <c r="G45" s="62">
        <v>823</v>
      </c>
      <c r="H45" s="49">
        <f t="shared" si="14"/>
        <v>823</v>
      </c>
      <c r="I45" s="49"/>
      <c r="J45" s="49"/>
      <c r="K45" s="90">
        <f>H45*'DATOS REFERENCIALES'!$C$4</f>
        <v>5288.598</v>
      </c>
      <c r="L45" s="90"/>
      <c r="M45" s="90"/>
      <c r="N45" s="80">
        <f>LOOKUP(C45,'TABLA ANTIG.'!$A$4:$A$39,'TABLA ANTIG.'!$B$4:$B$39)*(K45)</f>
        <v>0</v>
      </c>
      <c r="O45" s="27">
        <f t="shared" si="15"/>
        <v>528.85980000000006</v>
      </c>
      <c r="P45" s="90">
        <f>'DATOS REFERENCIALES'!$C$8</f>
        <v>4275</v>
      </c>
      <c r="Q45" s="80">
        <f>LOOKUP(C45,'TABLA ANTIG.'!$A$4:$A$39,'TABLA ANTIG.'!$B$4:$B$39)*(P45)</f>
        <v>0</v>
      </c>
      <c r="R45" s="99">
        <v>0</v>
      </c>
      <c r="S45" s="80">
        <f>'DATOS REFERENCIALES'!$C$14</f>
        <v>0</v>
      </c>
      <c r="T45" s="27">
        <f t="shared" si="23"/>
        <v>10092.4578</v>
      </c>
      <c r="U45" s="27">
        <f t="shared" si="16"/>
        <v>1110.1703580000001</v>
      </c>
      <c r="V45" s="27">
        <f t="shared" si="17"/>
        <v>302.77373399999999</v>
      </c>
      <c r="W45" s="27">
        <f t="shared" si="17"/>
        <v>302.77373399999999</v>
      </c>
      <c r="X45" s="27">
        <f t="shared" si="18"/>
        <v>201.84915599999999</v>
      </c>
      <c r="Y45" s="157">
        <f t="shared" si="19"/>
        <v>454.16060099999999</v>
      </c>
      <c r="Z45" s="27">
        <f t="shared" si="20"/>
        <v>2371.7275829999999</v>
      </c>
      <c r="AA45" s="131">
        <f t="shared" si="21"/>
        <v>7720.7302170000003</v>
      </c>
      <c r="AB45" s="148">
        <f>'DATOS REFERENCIALES'!$C$10</f>
        <v>1520</v>
      </c>
      <c r="AC45" s="80">
        <f>IF((IF(H45&gt;1119,('DATOS REFERENCIALES'!$C$9-(T45-U45-V45-W45-X45-Y45+AB45-L45-L45*0.235-(S45-S45*0.235))),(('DATOS REFERENCIALES'!$C$9/1120)*H45)-(K45+N45+O45+P45+Q45+R45-U45-V45-W45-X45-Y45+AB45-(L45-L45*0.235)-(S45*0.235))))&lt;0,0,IF(H45&gt;1119,(('DATOS REFERENCIALES'!$C$9)-(T45-U45-V45-W45-X45-Y45+AB45-(L45-L45*0.235)-(S45-S45*0.235))),(('DATOS REFERENCIALES'!$C$9/1120)*H45)-(K45+N45+O45+P45+Q45+R45-U45-V45-W45-X45-Y45+AB45)))</f>
        <v>3361.4572829999997</v>
      </c>
      <c r="AD45" s="131">
        <f t="shared" si="22"/>
        <v>12602.1875</v>
      </c>
      <c r="AE45" s="92">
        <f>'DATOS REFERENCIALES'!$C$13</f>
        <v>1210</v>
      </c>
      <c r="AF45" s="275"/>
      <c r="AG45" s="80">
        <f>IF($H45&gt;1119,'DATOS REFERENCIALES'!C17,'DATOS REFERENCIALES'!C17/1120*$H45)</f>
        <v>1102.2321428571429</v>
      </c>
      <c r="AH45" s="80">
        <f>'DATOS REFERENCIALES'!$C$12</f>
        <v>210</v>
      </c>
      <c r="AI45" s="148">
        <f t="shared" si="24"/>
        <v>15124.419642857143</v>
      </c>
      <c r="AJ45" s="598">
        <f>'DATOS REFERENCIALES'!$C$16</f>
        <v>772</v>
      </c>
      <c r="AK45" s="598">
        <f t="shared" si="25"/>
        <v>181.42</v>
      </c>
      <c r="AL45" s="598">
        <f t="shared" si="26"/>
        <v>590.58000000000004</v>
      </c>
      <c r="AM45" s="598">
        <f t="shared" si="27"/>
        <v>15714.999642857143</v>
      </c>
      <c r="AN45" s="17"/>
      <c r="AO45" s="17"/>
      <c r="AS45" s="8"/>
    </row>
    <row r="46" spans="1:45" s="1" customFormat="1" ht="21.75" customHeight="1" x14ac:dyDescent="0.2">
      <c r="A46" s="75">
        <v>1568</v>
      </c>
      <c r="B46" s="110" t="s">
        <v>76</v>
      </c>
      <c r="C46" s="35">
        <v>0</v>
      </c>
      <c r="D46" s="35"/>
      <c r="E46" s="35"/>
      <c r="F46" s="35"/>
      <c r="G46" s="62">
        <v>1008</v>
      </c>
      <c r="H46" s="49">
        <f t="shared" si="14"/>
        <v>1008</v>
      </c>
      <c r="I46" s="49"/>
      <c r="J46" s="49"/>
      <c r="K46" s="90">
        <f>H46*'DATOS REFERENCIALES'!$C$4</f>
        <v>6477.4080000000004</v>
      </c>
      <c r="L46" s="90"/>
      <c r="M46" s="90"/>
      <c r="N46" s="80">
        <f>LOOKUP(C46,'TABLA ANTIG.'!$A$4:$A$39,'TABLA ANTIG.'!$B$4:$B$39)*(K46)</f>
        <v>0</v>
      </c>
      <c r="O46" s="27">
        <f t="shared" si="15"/>
        <v>647.74080000000004</v>
      </c>
      <c r="P46" s="90">
        <f>'DATOS REFERENCIALES'!$C$8</f>
        <v>4275</v>
      </c>
      <c r="Q46" s="80">
        <f>LOOKUP(C46,'TABLA ANTIG.'!$A$4:$A$39,'TABLA ANTIG.'!$B$4:$B$39)*(P46)</f>
        <v>0</v>
      </c>
      <c r="R46" s="148">
        <v>0</v>
      </c>
      <c r="S46" s="80">
        <f>'DATOS REFERENCIALES'!$C$14</f>
        <v>0</v>
      </c>
      <c r="T46" s="27">
        <f t="shared" si="23"/>
        <v>11400.148800000001</v>
      </c>
      <c r="U46" s="80">
        <f t="shared" si="16"/>
        <v>1254.0163680000001</v>
      </c>
      <c r="V46" s="80">
        <f t="shared" si="17"/>
        <v>342.00446399999998</v>
      </c>
      <c r="W46" s="80">
        <f t="shared" si="17"/>
        <v>342.00446399999998</v>
      </c>
      <c r="X46" s="80">
        <f t="shared" si="18"/>
        <v>228.00297600000002</v>
      </c>
      <c r="Y46" s="152">
        <f t="shared" si="19"/>
        <v>513.00669600000003</v>
      </c>
      <c r="Z46" s="27">
        <f t="shared" si="20"/>
        <v>2679.0349680000004</v>
      </c>
      <c r="AA46" s="131">
        <f t="shared" si="21"/>
        <v>8721.1138320000009</v>
      </c>
      <c r="AB46" s="148">
        <f>'DATOS REFERENCIALES'!$C$10</f>
        <v>1520</v>
      </c>
      <c r="AC46" s="80">
        <f>IF((IF(H46&gt;1119,('DATOS REFERENCIALES'!$C$9-(T46-U46-V46-W46-X46-Y46+AB46-L46-L46*0.235-(S46-S46*0.235))),(('DATOS REFERENCIALES'!$C$9/1120)*H46)-(K46+N46+O46+P46+Q46+R46-U46-V46-W46-X46-Y46+AB46-(L46-L46*0.235)-(S46*0.235))))&lt;0,0,IF(H46&gt;1119,(('DATOS REFERENCIALES'!$C$9)-(T46-U46-V46-W46-X46-Y46+AB46-(L46-L46*0.235)-(S46-S46*0.235))),(('DATOS REFERENCIALES'!$C$9/1120)*H46)-(K46+N46+O46+P46+Q46+R46-U46-V46-W46-X46-Y46+AB46)))</f>
        <v>5193.8861679999991</v>
      </c>
      <c r="AD46" s="131">
        <f t="shared" si="22"/>
        <v>15435</v>
      </c>
      <c r="AE46" s="92">
        <f>'DATOS REFERENCIALES'!$C$13</f>
        <v>1210</v>
      </c>
      <c r="AF46" s="275"/>
      <c r="AG46" s="80">
        <f>IF($H46&gt;1119,'DATOS REFERENCIALES'!C17,'DATOS REFERENCIALES'!C17/1120*$H46)</f>
        <v>1350</v>
      </c>
      <c r="AH46" s="80">
        <f>'DATOS REFERENCIALES'!$C$12</f>
        <v>210</v>
      </c>
      <c r="AI46" s="148">
        <f t="shared" si="24"/>
        <v>18205</v>
      </c>
      <c r="AJ46" s="598">
        <f>'DATOS REFERENCIALES'!$C$16</f>
        <v>772</v>
      </c>
      <c r="AK46" s="598">
        <f t="shared" si="25"/>
        <v>181.42</v>
      </c>
      <c r="AL46" s="598">
        <f t="shared" si="26"/>
        <v>590.58000000000004</v>
      </c>
      <c r="AM46" s="598">
        <f t="shared" si="27"/>
        <v>18795.580000000002</v>
      </c>
      <c r="AN46" s="17"/>
      <c r="AO46" s="17"/>
      <c r="AS46" s="8"/>
    </row>
    <row r="47" spans="1:45" s="1" customFormat="1" ht="21.75" customHeight="1" x14ac:dyDescent="0.2">
      <c r="A47" s="75">
        <v>1599</v>
      </c>
      <c r="B47" s="101" t="s">
        <v>96</v>
      </c>
      <c r="C47" s="35">
        <v>0</v>
      </c>
      <c r="D47" s="37">
        <v>1</v>
      </c>
      <c r="E47" s="35"/>
      <c r="F47" s="35"/>
      <c r="G47" s="52">
        <v>56</v>
      </c>
      <c r="H47" s="35">
        <f t="shared" si="14"/>
        <v>56</v>
      </c>
      <c r="I47" s="35"/>
      <c r="J47" s="35"/>
      <c r="K47" s="90">
        <f>(H47*'DATOS REFERENCIALES'!$C$4)*D47</f>
        <v>359.85599999999999</v>
      </c>
      <c r="L47" s="90"/>
      <c r="M47" s="90"/>
      <c r="N47" s="80">
        <f>LOOKUP(C47,'TABLA ANTIG.'!$A$4:$A$39,'TABLA ANTIG.'!$B$4:$B$39)*(K47)</f>
        <v>0</v>
      </c>
      <c r="O47" s="27">
        <f t="shared" si="15"/>
        <v>35.985599999999998</v>
      </c>
      <c r="P47" s="90">
        <f>IF(D47&gt;48,'DATOS REFERENCIALES'!$D$8+('DATOS REFERENCIALES'!$F$8*10),IF(D47&lt;39,'DATOS REFERENCIALES'!$E$8*D47,((D47-'DATOS REFERENCIALES'!$I$8)*'DATOS REFERENCIALES'!$F$8)+'DATOS REFERENCIALES'!$D$8))</f>
        <v>225</v>
      </c>
      <c r="Q47" s="80">
        <f>LOOKUP(C47,'TABLA ANTIG.'!$A$4:$A$39,'TABLA ANTIG.'!$B$4:$B$39)*(P47)</f>
        <v>0</v>
      </c>
      <c r="R47" s="148">
        <v>0</v>
      </c>
      <c r="S47" s="90">
        <f>IF(D47&gt;29.99,'DATOS REFERENCIALES'!$D$14,'DATOS REFERENCIALES'!$E$14*D47)</f>
        <v>0</v>
      </c>
      <c r="T47" s="27">
        <f t="shared" si="23"/>
        <v>620.84159999999997</v>
      </c>
      <c r="U47" s="80">
        <f t="shared" si="16"/>
        <v>68.292575999999997</v>
      </c>
      <c r="V47" s="80">
        <f t="shared" si="17"/>
        <v>18.625247999999999</v>
      </c>
      <c r="W47" s="80">
        <f t="shared" si="17"/>
        <v>18.625247999999999</v>
      </c>
      <c r="X47" s="80">
        <f t="shared" si="18"/>
        <v>12.416831999999999</v>
      </c>
      <c r="Y47" s="152">
        <f t="shared" si="19"/>
        <v>27.937871999999999</v>
      </c>
      <c r="Z47" s="27">
        <f t="shared" si="20"/>
        <v>145.89777599999999</v>
      </c>
      <c r="AA47" s="131">
        <f t="shared" si="21"/>
        <v>474.94382399999995</v>
      </c>
      <c r="AB47" s="148">
        <f>IF(D47&gt;38,'DATOS REFERENCIALES'!$D$10,'DATOS REFERENCIALES'!$E$10*D47)</f>
        <v>80</v>
      </c>
      <c r="AC47" s="80">
        <f>IF(D47&gt;41,IF((('DATOS REFERENCIALES'!$D$9)-((T47-S47)-(Z47-S47*0.235)+(AB47)))&lt;0,0,((('DATOS REFERENCIALES'!$D$9)-((T47-S47)-(Z47-S47*0.235)+(AB47))))),IF((('DATOS REFERENCIALES'!$E$9*D47)-(((T47-S47)-(Z47-S47*0.235)+(AB47))))&lt;0,0,('DATOS REFERENCIALES'!$E$9*D47)-((T47-S47)-(Z47-S47*0.235)+(AB47))))</f>
        <v>302.55617600000005</v>
      </c>
      <c r="AD47" s="131">
        <f t="shared" si="22"/>
        <v>857.5</v>
      </c>
      <c r="AE47" s="92">
        <f>IF(D47&gt;30,'DATOS REFERENCIALES'!$D$13,('DATOS REFERENCIALES'!$E$13*D47))</f>
        <v>80.666659999999993</v>
      </c>
      <c r="AF47" s="275"/>
      <c r="AG47" s="80">
        <f>IF(D47&gt;'DATOS REFERENCIALES'!$I$17,'DATOS REFERENCIALES'!$D$17,('DATOS REFERENCIALES'!$E$17*D47))</f>
        <v>75</v>
      </c>
      <c r="AH47" s="80">
        <f>IF(D47&gt;'DATOS REFERENCIALES'!$I$12,'DATOS REFERENCIALES'!$D$12,'DATOS REFERENCIALES'!$E$12*D47)</f>
        <v>14</v>
      </c>
      <c r="AI47" s="148">
        <f t="shared" si="24"/>
        <v>1027.1666599999999</v>
      </c>
      <c r="AJ47" s="598">
        <f>IF(D47&gt;'DATOS REFERENCIALES'!$I$16,'DATOS REFERENCIALES'!$D$16,'DATOS REFERENCIALES'!$E$16*D47)</f>
        <v>51.47</v>
      </c>
      <c r="AK47" s="598">
        <f t="shared" si="25"/>
        <v>12.09545</v>
      </c>
      <c r="AL47" s="598">
        <f t="shared" si="26"/>
        <v>39.374549999999999</v>
      </c>
      <c r="AM47" s="598">
        <f t="shared" si="27"/>
        <v>1066.5412099999999</v>
      </c>
      <c r="AN47" s="17"/>
      <c r="AO47" s="17"/>
      <c r="AS47" s="8"/>
    </row>
    <row r="48" spans="1:45" s="1" customFormat="1" ht="21.75" customHeight="1" x14ac:dyDescent="0.2">
      <c r="A48" s="75">
        <v>1599</v>
      </c>
      <c r="B48" s="101" t="s">
        <v>97</v>
      </c>
      <c r="C48" s="35">
        <v>0</v>
      </c>
      <c r="D48" s="37">
        <v>1</v>
      </c>
      <c r="E48" s="35"/>
      <c r="F48" s="35"/>
      <c r="G48" s="52">
        <v>56</v>
      </c>
      <c r="H48" s="35">
        <f t="shared" si="14"/>
        <v>56</v>
      </c>
      <c r="I48" s="35"/>
      <c r="J48" s="35"/>
      <c r="K48" s="90">
        <f>(H48*'DATOS REFERENCIALES'!$C$4)*D48</f>
        <v>359.85599999999999</v>
      </c>
      <c r="L48" s="90"/>
      <c r="M48" s="90"/>
      <c r="N48" s="80">
        <f>LOOKUP(C48,'TABLA ANTIG.'!$A$4:$A$39,'TABLA ANTIG.'!$B$4:$B$39)*(K48)</f>
        <v>0</v>
      </c>
      <c r="O48" s="27">
        <f t="shared" si="15"/>
        <v>35.985599999999998</v>
      </c>
      <c r="P48" s="90">
        <f>IF(D48&gt;48,'DATOS REFERENCIALES'!$D$8+('DATOS REFERENCIALES'!$F$8*10),IF(D48&lt;39,'DATOS REFERENCIALES'!$E$8*D48,((D48-'DATOS REFERENCIALES'!$I$8)*'DATOS REFERENCIALES'!$F$8)+'DATOS REFERENCIALES'!$D$8))</f>
        <v>225</v>
      </c>
      <c r="Q48" s="80">
        <f>LOOKUP(C48,'TABLA ANTIG.'!$A$4:$A$39,'TABLA ANTIG.'!$B$4:$B$39)*(P48)</f>
        <v>0</v>
      </c>
      <c r="R48" s="148">
        <v>0</v>
      </c>
      <c r="S48" s="90">
        <f>IF(D48&gt;29.99,'DATOS REFERENCIALES'!$D$14,'DATOS REFERENCIALES'!$E$14*D48)</f>
        <v>0</v>
      </c>
      <c r="T48" s="27">
        <f t="shared" si="23"/>
        <v>620.84159999999997</v>
      </c>
      <c r="U48" s="80">
        <f t="shared" si="16"/>
        <v>68.292575999999997</v>
      </c>
      <c r="V48" s="80">
        <f t="shared" si="17"/>
        <v>18.625247999999999</v>
      </c>
      <c r="W48" s="80">
        <f t="shared" si="17"/>
        <v>18.625247999999999</v>
      </c>
      <c r="X48" s="80">
        <f t="shared" si="18"/>
        <v>12.416831999999999</v>
      </c>
      <c r="Y48" s="152">
        <f t="shared" si="19"/>
        <v>27.937871999999999</v>
      </c>
      <c r="Z48" s="27">
        <f t="shared" si="20"/>
        <v>145.89777599999999</v>
      </c>
      <c r="AA48" s="131">
        <f t="shared" si="21"/>
        <v>474.94382399999995</v>
      </c>
      <c r="AB48" s="148">
        <f>IF(D48&gt;38,'DATOS REFERENCIALES'!$D$10,'DATOS REFERENCIALES'!$E$10*D48)</f>
        <v>80</v>
      </c>
      <c r="AC48" s="80">
        <f>IF(D48&gt;41,IF((('DATOS REFERENCIALES'!$D$9)-((T48-S48)-(Z48-S48*0.235)+(AB48)))&lt;0,0,((('DATOS REFERENCIALES'!$D$9)-((T48-S48)-(Z48-S48*0.235)+(AB48))))),IF((('DATOS REFERENCIALES'!$E$9*D48)-(((T48-S48)-(Z48-S48*0.235)+(AB48))))&lt;0,0,('DATOS REFERENCIALES'!$E$9*D48)-((T48-S48)-(Z48-S48*0.235)+(AB48))))</f>
        <v>302.55617600000005</v>
      </c>
      <c r="AD48" s="131">
        <f t="shared" si="22"/>
        <v>857.5</v>
      </c>
      <c r="AE48" s="92">
        <f>IF(D48&gt;30,'DATOS REFERENCIALES'!$D$13,('DATOS REFERENCIALES'!$E$13*D48))</f>
        <v>80.666659999999993</v>
      </c>
      <c r="AF48" s="275"/>
      <c r="AG48" s="80">
        <f>IF(D48&gt;'DATOS REFERENCIALES'!$I$17,'DATOS REFERENCIALES'!$D$17,('DATOS REFERENCIALES'!$E$17*D48))</f>
        <v>75</v>
      </c>
      <c r="AH48" s="80">
        <f>IF(D48&gt;'DATOS REFERENCIALES'!$I$12,'DATOS REFERENCIALES'!$D$12,'DATOS REFERENCIALES'!$E$12*D48)</f>
        <v>14</v>
      </c>
      <c r="AI48" s="148">
        <f t="shared" si="24"/>
        <v>1027.1666599999999</v>
      </c>
      <c r="AJ48" s="598">
        <f>IF(D48&gt;'DATOS REFERENCIALES'!$I$16,'DATOS REFERENCIALES'!$D$16,'DATOS REFERENCIALES'!$E$16*D48)</f>
        <v>51.47</v>
      </c>
      <c r="AK48" s="598">
        <f t="shared" si="25"/>
        <v>12.09545</v>
      </c>
      <c r="AL48" s="598">
        <f t="shared" si="26"/>
        <v>39.374549999999999</v>
      </c>
      <c r="AM48" s="598">
        <f t="shared" si="27"/>
        <v>1066.5412099999999</v>
      </c>
      <c r="AN48" s="17"/>
      <c r="AO48" s="17"/>
      <c r="AS48" s="8"/>
    </row>
    <row r="49" spans="1:45" s="1" customFormat="1" ht="21.75" customHeight="1" x14ac:dyDescent="0.2">
      <c r="A49" s="75">
        <v>1599</v>
      </c>
      <c r="B49" s="101" t="s">
        <v>98</v>
      </c>
      <c r="C49" s="35">
        <v>0</v>
      </c>
      <c r="D49" s="37">
        <v>1</v>
      </c>
      <c r="E49" s="35"/>
      <c r="F49" s="35"/>
      <c r="G49" s="52">
        <v>56</v>
      </c>
      <c r="H49" s="35">
        <f t="shared" si="14"/>
        <v>56</v>
      </c>
      <c r="I49" s="35"/>
      <c r="J49" s="35"/>
      <c r="K49" s="226">
        <f>(H49*'DATOS REFERENCIALES'!$C$4)*D49</f>
        <v>359.85599999999999</v>
      </c>
      <c r="L49" s="226"/>
      <c r="M49" s="226"/>
      <c r="N49" s="155">
        <f>LOOKUP(C49,'TABLA ANTIG.'!$A$4:$A$39,'TABLA ANTIG.'!$B$4:$B$39)*(K49)</f>
        <v>0</v>
      </c>
      <c r="O49" s="153">
        <f t="shared" si="15"/>
        <v>35.985599999999998</v>
      </c>
      <c r="P49" s="90">
        <f>IF(D49&gt;48,'DATOS REFERENCIALES'!$D$8+('DATOS REFERENCIALES'!$F$8*10),IF(D49&lt;39,'DATOS REFERENCIALES'!$E$8*D49,((D49-'DATOS REFERENCIALES'!$I$8)*'DATOS REFERENCIALES'!$F$8)+'DATOS REFERENCIALES'!$D$8))</f>
        <v>225</v>
      </c>
      <c r="Q49" s="155">
        <f>LOOKUP(C49,'TABLA ANTIG.'!$A$4:$A$39,'TABLA ANTIG.'!$B$4:$B$39)*(P49)</f>
        <v>0</v>
      </c>
      <c r="R49" s="550">
        <v>0</v>
      </c>
      <c r="S49" s="90">
        <f>IF(D49&gt;29.99,'DATOS REFERENCIALES'!$D$14,'DATOS REFERENCIALES'!$E$14*D49)</f>
        <v>0</v>
      </c>
      <c r="T49" s="27">
        <f t="shared" si="23"/>
        <v>620.84159999999997</v>
      </c>
      <c r="U49" s="155">
        <f t="shared" si="16"/>
        <v>68.292575999999997</v>
      </c>
      <c r="V49" s="155">
        <f t="shared" si="17"/>
        <v>18.625247999999999</v>
      </c>
      <c r="W49" s="155">
        <f t="shared" si="17"/>
        <v>18.625247999999999</v>
      </c>
      <c r="X49" s="155">
        <f t="shared" si="18"/>
        <v>12.416831999999999</v>
      </c>
      <c r="Y49" s="158">
        <f t="shared" si="19"/>
        <v>27.937871999999999</v>
      </c>
      <c r="Z49" s="153">
        <f t="shared" si="20"/>
        <v>145.89777599999999</v>
      </c>
      <c r="AA49" s="154">
        <f t="shared" si="21"/>
        <v>474.94382399999995</v>
      </c>
      <c r="AB49" s="550">
        <f>IF(D49&gt;38,'DATOS REFERENCIALES'!$D$10,'DATOS REFERENCIALES'!$E$10*D49)</f>
        <v>80</v>
      </c>
      <c r="AC49" s="80">
        <f>IF(D49&gt;41,IF((('DATOS REFERENCIALES'!$D$9)-((T49-S49)-(Z49-S49*0.235)+(AB49)))&lt;0,0,((('DATOS REFERENCIALES'!$D$9)-((T49-S49)-(Z49-S49*0.235)+(AB49))))),IF((('DATOS REFERENCIALES'!$E$9*D49)-(((T49-S49)-(Z49-S49*0.235)+(AB49))))&lt;0,0,('DATOS REFERENCIALES'!$E$9*D49)-((T49-S49)-(Z49-S49*0.235)+(AB49))))</f>
        <v>302.55617600000005</v>
      </c>
      <c r="AD49" s="154">
        <f t="shared" si="22"/>
        <v>857.5</v>
      </c>
      <c r="AE49" s="92">
        <f>IF(D49&gt;30,'DATOS REFERENCIALES'!$D$13,('DATOS REFERENCIALES'!$E$13*D49))</f>
        <v>80.666659999999993</v>
      </c>
      <c r="AF49" s="275"/>
      <c r="AG49" s="80">
        <f>IF(D49&gt;'DATOS REFERENCIALES'!$I$17,'DATOS REFERENCIALES'!$D$17,('DATOS REFERENCIALES'!$E$17*D49))</f>
        <v>75</v>
      </c>
      <c r="AH49" s="80">
        <f>IF(D49&gt;'DATOS REFERENCIALES'!$I$12,'DATOS REFERENCIALES'!$D$12,'DATOS REFERENCIALES'!$E$12*D49)</f>
        <v>14</v>
      </c>
      <c r="AI49" s="148">
        <f t="shared" si="24"/>
        <v>1027.1666599999999</v>
      </c>
      <c r="AJ49" s="598">
        <f>IF(D49&gt;'DATOS REFERENCIALES'!$I$16,'DATOS REFERENCIALES'!$D$16,'DATOS REFERENCIALES'!$E$16*D49)</f>
        <v>51.47</v>
      </c>
      <c r="AK49" s="598">
        <f t="shared" si="25"/>
        <v>12.09545</v>
      </c>
      <c r="AL49" s="598">
        <f t="shared" si="26"/>
        <v>39.374549999999999</v>
      </c>
      <c r="AM49" s="598">
        <f t="shared" si="27"/>
        <v>1066.5412099999999</v>
      </c>
      <c r="AN49" s="17"/>
      <c r="AO49" s="17"/>
      <c r="AS49" s="8"/>
    </row>
    <row r="50" spans="1:45" s="1" customFormat="1" ht="21.75" customHeight="1" thickBot="1" x14ac:dyDescent="0.25">
      <c r="A50" s="115">
        <v>1599</v>
      </c>
      <c r="B50" s="249" t="s">
        <v>99</v>
      </c>
      <c r="C50" s="51">
        <v>0</v>
      </c>
      <c r="D50" s="57">
        <v>1</v>
      </c>
      <c r="E50" s="51"/>
      <c r="F50" s="51"/>
      <c r="G50" s="58">
        <v>56</v>
      </c>
      <c r="H50" s="51">
        <f t="shared" si="14"/>
        <v>56</v>
      </c>
      <c r="I50" s="57"/>
      <c r="J50" s="57"/>
      <c r="K50" s="91">
        <f>(H50*'DATOS REFERENCIALES'!$C$4)*D50</f>
        <v>359.85599999999999</v>
      </c>
      <c r="L50" s="91"/>
      <c r="M50" s="91"/>
      <c r="N50" s="81">
        <f>LOOKUP(C50,'TABLA ANTIG.'!$A$4:$A$39,'TABLA ANTIG.'!$B$4:$B$39)*(K50)</f>
        <v>0</v>
      </c>
      <c r="O50" s="28">
        <f t="shared" si="15"/>
        <v>35.985599999999998</v>
      </c>
      <c r="P50" s="91">
        <f>IF(D50&gt;48,'DATOS REFERENCIALES'!$D$8+('DATOS REFERENCIALES'!$F$8*10),IF(D50&lt;39,'DATOS REFERENCIALES'!$E$8*D50,((D50-'DATOS REFERENCIALES'!$I$8)*'DATOS REFERENCIALES'!$F$8)+'DATOS REFERENCIALES'!$D$8))</f>
        <v>225</v>
      </c>
      <c r="Q50" s="81">
        <f>LOOKUP(C50,'TABLA ANTIG.'!$A$4:$A$39,'TABLA ANTIG.'!$B$4:$B$39)*(P50)</f>
        <v>0</v>
      </c>
      <c r="R50" s="151">
        <v>0</v>
      </c>
      <c r="S50" s="91">
        <f>IF(D50&gt;29.99,'DATOS REFERENCIALES'!$D$14,'DATOS REFERENCIALES'!$E$14*D50)</f>
        <v>0</v>
      </c>
      <c r="T50" s="28">
        <f t="shared" si="23"/>
        <v>620.84159999999997</v>
      </c>
      <c r="U50" s="81">
        <f t="shared" si="16"/>
        <v>68.292575999999997</v>
      </c>
      <c r="V50" s="81">
        <f t="shared" si="17"/>
        <v>18.625247999999999</v>
      </c>
      <c r="W50" s="81">
        <f t="shared" si="17"/>
        <v>18.625247999999999</v>
      </c>
      <c r="X50" s="81">
        <f t="shared" si="18"/>
        <v>12.416831999999999</v>
      </c>
      <c r="Y50" s="159">
        <f t="shared" si="19"/>
        <v>27.937871999999999</v>
      </c>
      <c r="Z50" s="28">
        <f t="shared" si="20"/>
        <v>145.89777599999999</v>
      </c>
      <c r="AA50" s="81">
        <f t="shared" si="21"/>
        <v>474.94382399999995</v>
      </c>
      <c r="AB50" s="151">
        <f>IF(D50&gt;38,'DATOS REFERENCIALES'!$D$10,'DATOS REFERENCIALES'!$E$10*D50)</f>
        <v>80</v>
      </c>
      <c r="AC50" s="81">
        <f>IF(D50&gt;41,IF((('DATOS REFERENCIALES'!$D$9)-((T50-S50)-(Z50-S50*0.235)+(AB50)))&lt;0,0,((('DATOS REFERENCIALES'!$D$9)-((T50-S50)-(Z50-S50*0.235)+(AB50))))),IF((('DATOS REFERENCIALES'!$E$9*D50)-(((T50-S50)-(Z50-S50*0.235)+(AB50))))&lt;0,0,('DATOS REFERENCIALES'!$E$9*D50)-((T50-S50)-(Z50-S50*0.235)+(AB50))))</f>
        <v>302.55617600000005</v>
      </c>
      <c r="AD50" s="132">
        <f t="shared" si="22"/>
        <v>857.5</v>
      </c>
      <c r="AE50" s="93">
        <f>IF(D50&gt;30,'DATOS REFERENCIALES'!$D$13,('DATOS REFERENCIALES'!$E$13*D50))</f>
        <v>80.666659999999993</v>
      </c>
      <c r="AF50" s="273"/>
      <c r="AG50" s="81">
        <f>IF(D50&gt;'DATOS REFERENCIALES'!$I$17,'DATOS REFERENCIALES'!$D$17,('DATOS REFERENCIALES'!$E$17*D50))</f>
        <v>75</v>
      </c>
      <c r="AH50" s="81">
        <f>IF(D50&gt;'DATOS REFERENCIALES'!$I$12,'DATOS REFERENCIALES'!$D$12,'DATOS REFERENCIALES'!$E$12*D50)</f>
        <v>14</v>
      </c>
      <c r="AI50" s="151">
        <f t="shared" si="24"/>
        <v>1027.1666599999999</v>
      </c>
      <c r="AJ50" s="600">
        <f>IF(D50&gt;'DATOS REFERENCIALES'!$I$16,'DATOS REFERENCIALES'!$D$16,'DATOS REFERENCIALES'!$E$16*D50)</f>
        <v>51.47</v>
      </c>
      <c r="AK50" s="600">
        <f t="shared" si="25"/>
        <v>12.09545</v>
      </c>
      <c r="AL50" s="600">
        <f t="shared" si="26"/>
        <v>39.374549999999999</v>
      </c>
      <c r="AM50" s="600">
        <f t="shared" si="27"/>
        <v>1066.5412099999999</v>
      </c>
      <c r="AN50" s="17"/>
      <c r="AO50" s="17"/>
      <c r="AS50" s="8"/>
    </row>
    <row r="51" spans="1:45" s="1" customFormat="1" ht="21.75" customHeight="1" thickBot="1" x14ac:dyDescent="0.25">
      <c r="A51" s="43"/>
      <c r="B51" s="97"/>
      <c r="C51" s="44"/>
      <c r="D51" s="44"/>
      <c r="E51" s="44"/>
      <c r="F51" s="44"/>
      <c r="G51" s="67"/>
      <c r="H51" s="44"/>
      <c r="I51" s="44"/>
      <c r="J51" s="44"/>
      <c r="K51" s="41"/>
      <c r="L51" s="41"/>
      <c r="M51" s="41"/>
      <c r="N51" s="42"/>
      <c r="O51" s="74"/>
      <c r="P51" s="41"/>
      <c r="Q51" s="42"/>
      <c r="R51" s="42"/>
      <c r="S51" s="42"/>
      <c r="T51" s="74"/>
      <c r="U51" s="42"/>
      <c r="V51" s="42"/>
      <c r="W51" s="42"/>
      <c r="X51" s="42"/>
      <c r="Y51" s="42"/>
      <c r="Z51" s="74"/>
      <c r="AA51" s="45"/>
      <c r="AB51" s="46"/>
      <c r="AC51" s="45"/>
      <c r="AD51" s="45"/>
      <c r="AE51" s="47"/>
      <c r="AF51" s="47"/>
      <c r="AG51" s="69"/>
      <c r="AH51" s="69"/>
      <c r="AI51" s="45"/>
      <c r="AJ51" s="13"/>
      <c r="AK51" s="13"/>
      <c r="AL51" s="13"/>
      <c r="AM51" s="16"/>
      <c r="AN51" s="17"/>
      <c r="AO51" s="17"/>
      <c r="AS51" s="8"/>
    </row>
    <row r="52" spans="1:45" s="1" customFormat="1" ht="21" thickBot="1" x14ac:dyDescent="0.35">
      <c r="A52" s="95" t="s">
        <v>133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5" t="s">
        <v>133</v>
      </c>
      <c r="AD52" s="96"/>
      <c r="AE52" s="96"/>
      <c r="AF52" s="96"/>
      <c r="AG52" s="96"/>
      <c r="AH52" s="96"/>
      <c r="AI52" s="96"/>
      <c r="AJ52" s="13"/>
      <c r="AK52" s="585">
        <v>0.23499999999999999</v>
      </c>
      <c r="AL52" s="13"/>
      <c r="AM52" s="16"/>
      <c r="AN52" s="17"/>
      <c r="AO52" s="17"/>
    </row>
    <row r="53" spans="1:45" s="2" customFormat="1" ht="12.75" customHeight="1" thickBot="1" x14ac:dyDescent="0.25">
      <c r="A53" s="687" t="s">
        <v>1</v>
      </c>
      <c r="B53" s="687" t="s">
        <v>0</v>
      </c>
      <c r="C53" s="629" t="s">
        <v>77</v>
      </c>
      <c r="D53" s="629" t="s">
        <v>119</v>
      </c>
      <c r="E53" s="629" t="s">
        <v>127</v>
      </c>
      <c r="F53" s="629" t="s">
        <v>113</v>
      </c>
      <c r="G53" s="629" t="s">
        <v>102</v>
      </c>
      <c r="H53" s="629" t="s">
        <v>79</v>
      </c>
      <c r="I53" s="629" t="s">
        <v>148</v>
      </c>
      <c r="J53" s="627" t="s">
        <v>147</v>
      </c>
      <c r="K53" s="627" t="s">
        <v>121</v>
      </c>
      <c r="L53" s="627" t="s">
        <v>146</v>
      </c>
      <c r="M53" s="627" t="s">
        <v>147</v>
      </c>
      <c r="N53" s="720" t="s">
        <v>85</v>
      </c>
      <c r="O53" s="645" t="s">
        <v>120</v>
      </c>
      <c r="P53" s="647" t="s">
        <v>86</v>
      </c>
      <c r="Q53" s="645" t="s">
        <v>101</v>
      </c>
      <c r="R53" s="645" t="s">
        <v>84</v>
      </c>
      <c r="S53" s="629" t="s">
        <v>192</v>
      </c>
      <c r="T53" s="645" t="s">
        <v>69</v>
      </c>
      <c r="U53" s="651" t="s">
        <v>59</v>
      </c>
      <c r="V53" s="651"/>
      <c r="W53" s="651"/>
      <c r="X53" s="651"/>
      <c r="Y53" s="651"/>
      <c r="Z53" s="629" t="s">
        <v>68</v>
      </c>
      <c r="AA53" s="629" t="s">
        <v>89</v>
      </c>
      <c r="AB53" s="629" t="s">
        <v>88</v>
      </c>
      <c r="AC53" s="629" t="s">
        <v>87</v>
      </c>
      <c r="AD53" s="629" t="s">
        <v>91</v>
      </c>
      <c r="AE53" s="629" t="s">
        <v>90</v>
      </c>
      <c r="AF53" s="629" t="s">
        <v>174</v>
      </c>
      <c r="AG53" s="629" t="s">
        <v>196</v>
      </c>
      <c r="AH53" s="673" t="s">
        <v>175</v>
      </c>
      <c r="AI53" s="629" t="s">
        <v>92</v>
      </c>
      <c r="AJ53" s="629" t="s">
        <v>192</v>
      </c>
      <c r="AK53" s="631" t="s">
        <v>68</v>
      </c>
      <c r="AL53" s="629" t="s">
        <v>194</v>
      </c>
      <c r="AM53" s="629" t="s">
        <v>195</v>
      </c>
      <c r="AN53" s="17"/>
      <c r="AO53" s="17"/>
    </row>
    <row r="54" spans="1:45" s="2" customFormat="1" ht="87.75" customHeight="1" thickBot="1" x14ac:dyDescent="0.25">
      <c r="A54" s="725"/>
      <c r="B54" s="725"/>
      <c r="C54" s="677"/>
      <c r="D54" s="677"/>
      <c r="E54" s="677"/>
      <c r="F54" s="677"/>
      <c r="G54" s="677"/>
      <c r="H54" s="677"/>
      <c r="I54" s="630"/>
      <c r="J54" s="628"/>
      <c r="K54" s="726"/>
      <c r="L54" s="726"/>
      <c r="M54" s="726"/>
      <c r="N54" s="730"/>
      <c r="O54" s="680"/>
      <c r="P54" s="729"/>
      <c r="Q54" s="680"/>
      <c r="R54" s="680"/>
      <c r="S54" s="677"/>
      <c r="T54" s="680"/>
      <c r="U54" s="98" t="s">
        <v>141</v>
      </c>
      <c r="V54" s="98" t="s">
        <v>61</v>
      </c>
      <c r="W54" s="98" t="s">
        <v>62</v>
      </c>
      <c r="X54" s="98" t="s">
        <v>63</v>
      </c>
      <c r="Y54" s="98" t="s">
        <v>64</v>
      </c>
      <c r="Z54" s="677"/>
      <c r="AA54" s="677"/>
      <c r="AB54" s="677"/>
      <c r="AC54" s="630"/>
      <c r="AD54" s="677"/>
      <c r="AE54" s="677"/>
      <c r="AF54" s="630"/>
      <c r="AG54" s="630"/>
      <c r="AH54" s="630"/>
      <c r="AI54" s="677"/>
      <c r="AJ54" s="630"/>
      <c r="AK54" s="632"/>
      <c r="AL54" s="630"/>
      <c r="AM54" s="630"/>
      <c r="AN54" s="17"/>
      <c r="AO54" s="17"/>
    </row>
    <row r="55" spans="1:45" s="1" customFormat="1" ht="24.75" customHeight="1" x14ac:dyDescent="0.2">
      <c r="A55" s="505">
        <v>5080</v>
      </c>
      <c r="B55" s="506" t="s">
        <v>23</v>
      </c>
      <c r="C55" s="340">
        <v>0</v>
      </c>
      <c r="D55" s="494"/>
      <c r="E55" s="494"/>
      <c r="F55" s="494"/>
      <c r="G55" s="412">
        <v>3128</v>
      </c>
      <c r="H55" s="340">
        <f t="shared" ref="H55:H62" si="28">SUM(G55:G55)</f>
        <v>3128</v>
      </c>
      <c r="I55" s="340"/>
      <c r="J55" s="340"/>
      <c r="K55" s="345">
        <f>H55*'DATOS REFERENCIALES'!$C$4</f>
        <v>20100.528000000002</v>
      </c>
      <c r="L55" s="345"/>
      <c r="M55" s="345"/>
      <c r="N55" s="347">
        <f>LOOKUP(C55,'TABLA ANTIG.'!$A$4:$A$39,'TABLA ANTIG.'!$B$4:$B$39)*(K55)</f>
        <v>0</v>
      </c>
      <c r="O55" s="347">
        <f t="shared" ref="O55:O62" si="29">K55*0.1</f>
        <v>2010.0528000000004</v>
      </c>
      <c r="P55" s="345">
        <f>'DATOS REFERENCIALES'!$D$8</f>
        <v>8550</v>
      </c>
      <c r="Q55" s="347">
        <f>LOOKUP(C55,'TABLA ANTIG.'!$A$4:$A$39,'TABLA ANTIG.'!$B$4:$B$39)*(P55)</f>
        <v>0</v>
      </c>
      <c r="R55" s="347">
        <v>0</v>
      </c>
      <c r="S55" s="347">
        <f>IF(C55&lt;12,IF(H55&gt;2042,'DATOS REFERENCIALES'!$D$14,'DATOS REFERENCIALES'!$D$14/2043*H55*D55),IF(C55&gt;11,IF(H55&gt;2042,'DATOS REFERENCIALES'!$D$15,'DATOS REFERENCIALES'!$D$15/2043*H55*D55)))</f>
        <v>0</v>
      </c>
      <c r="T55" s="347">
        <f>K55+N55+O55+P55+Q55+R55+S55</f>
        <v>30660.580800000003</v>
      </c>
      <c r="U55" s="347">
        <f t="shared" ref="U55:U62" si="30">$T55*11%</f>
        <v>3372.6638880000005</v>
      </c>
      <c r="V55" s="347">
        <f t="shared" ref="V55:W62" si="31">$T55*3%</f>
        <v>919.81742400000007</v>
      </c>
      <c r="W55" s="347">
        <f t="shared" si="31"/>
        <v>919.81742400000007</v>
      </c>
      <c r="X55" s="347">
        <f t="shared" ref="X55:X62" si="32">$T55*2%</f>
        <v>613.21161600000005</v>
      </c>
      <c r="Y55" s="347">
        <f t="shared" ref="Y55:Y62" si="33">$T55*4.5%</f>
        <v>1379.726136</v>
      </c>
      <c r="Z55" s="347">
        <f t="shared" ref="Z55:Z62" si="34">SUM(U55:Y55)</f>
        <v>7205.2364880000014</v>
      </c>
      <c r="AA55" s="347">
        <f t="shared" ref="AA55:AA62" si="35">T55-Z55</f>
        <v>23455.344312000001</v>
      </c>
      <c r="AB55" s="507">
        <f>'DATOS REFERENCIALES'!$D$10</f>
        <v>3040</v>
      </c>
      <c r="AC55" s="427">
        <f>IF((IF(H55&gt;2042,('DATOS REFERENCIALES'!$D$9-(T55-U55-V55-W55-X55-Y55+AB55)+(S55-S55*0.235)),(('DATOS REFERENCIALES'!$D$9/2043)*H55)-(K55+N55+O55+P55+Q55+R55-U55-V55-W55-X55-Y55+AB55)))&lt;0,0,IF(H55&gt;2042,(('DATOS REFERENCIALES'!$D$9)-(T55-U55-V55-W55-X55-Y55+AB55)+(S55-S55*0.235)),(('DATOS REFERENCIALES'!$D$9/2043)*H55)-(K55+N55+O55+P55+Q55+R55-U55-V55-W55-X55-Y55+AB55)))</f>
        <v>7804.6556879999989</v>
      </c>
      <c r="AD55" s="351">
        <f t="shared" ref="AD55:AD62" si="36">SUM(AA55:AC55)</f>
        <v>34300</v>
      </c>
      <c r="AE55" s="352">
        <f>'DATOS REFERENCIALES'!$D$13</f>
        <v>2420</v>
      </c>
      <c r="AF55" s="374"/>
      <c r="AG55" s="351">
        <f>IF($H55&gt;2043,'DATOS REFERENCIALES'!D17,'DATOS REFERENCIALES'!D17/2043*$H55)</f>
        <v>3000</v>
      </c>
      <c r="AH55" s="347">
        <f>'DATOS REFERENCIALES'!$D$12</f>
        <v>420</v>
      </c>
      <c r="AI55" s="633">
        <f>SUM(AD55:AH55)+SUM(AD56:AH56)</f>
        <v>41408.594573399998</v>
      </c>
      <c r="AJ55" s="613">
        <f>'DATOS REFERENCIALES'!D16</f>
        <v>1544</v>
      </c>
      <c r="AK55" s="633">
        <f>AJ55*$AK$52</f>
        <v>362.84</v>
      </c>
      <c r="AL55" s="633">
        <f>AJ55-AK55</f>
        <v>1181.1600000000001</v>
      </c>
      <c r="AM55" s="635">
        <f>AI55+AL55</f>
        <v>42589.754573400001</v>
      </c>
      <c r="AN55" s="17"/>
      <c r="AO55" s="17"/>
      <c r="AS55" s="8"/>
    </row>
    <row r="56" spans="1:45" s="1" customFormat="1" ht="25.5" customHeight="1" thickBot="1" x14ac:dyDescent="0.25">
      <c r="A56" s="508">
        <v>5080</v>
      </c>
      <c r="B56" s="509" t="s">
        <v>23</v>
      </c>
      <c r="C56" s="355">
        <f>IF(C55&gt;0,C55,0)</f>
        <v>0</v>
      </c>
      <c r="D56" s="510"/>
      <c r="E56" s="510"/>
      <c r="F56" s="510"/>
      <c r="G56" s="511"/>
      <c r="H56" s="512"/>
      <c r="I56" s="355">
        <v>234.6</v>
      </c>
      <c r="J56" s="359"/>
      <c r="K56" s="360"/>
      <c r="L56" s="360">
        <f>I56*'DATOS REFERENCIALES'!$C$4</f>
        <v>1507.5396000000001</v>
      </c>
      <c r="M56" s="360">
        <f>IF(J56='DATOS REFERENCIALES'!$C$30,K55*'DATOS REFERENCIALES'!$D$30,IF(J56='DATOS REFERENCIALES'!$C$31,('DATOS REFERENCIALES'!$D$31*K55),IF(J56='DATOS REFERENCIALES'!$C$32,('DATOS REFERENCIALES'!$D$32*K55),IF(J56='DATOS REFERENCIALES'!$C$33,('DATOS REFERENCIALES'!$D$33*K55),IF(J56='DATOS REFERENCIALES'!$C$34,('DATOS REFERENCIALES'!$D$34*K55),IF(J56='DATOS REFERENCIALES'!$C$35,('DATOS REFERENCIALES'!$D$35*K55),IF(J56='DATOS REFERENCIALES'!$C$36,('DATOS REFERENCIALES'!$D$36*K55),IF(J56='DATOS REFERENCIALES'!$C$37,('DATOS REFERENCIALES'!$D$37*K55),0))))))))</f>
        <v>0</v>
      </c>
      <c r="N56" s="362">
        <f>LOOKUP(C56,'TABLA ANTIG.'!$A$4:$A$39,'TABLA ANTIG.'!$B$4:$B$39)*(L56+M56)</f>
        <v>0</v>
      </c>
      <c r="O56" s="362">
        <f>(L56+M56)*0.1</f>
        <v>150.75396000000001</v>
      </c>
      <c r="P56" s="360"/>
      <c r="Q56" s="362"/>
      <c r="R56" s="361"/>
      <c r="S56" s="361"/>
      <c r="T56" s="362">
        <f>L56+M56+N56+O56+P56+Q56+R56</f>
        <v>1658.2935600000001</v>
      </c>
      <c r="U56" s="365">
        <f t="shared" si="30"/>
        <v>182.4122916</v>
      </c>
      <c r="V56" s="362">
        <f t="shared" si="31"/>
        <v>49.748806799999997</v>
      </c>
      <c r="W56" s="365">
        <f t="shared" si="31"/>
        <v>49.748806799999997</v>
      </c>
      <c r="X56" s="362">
        <f>$T56*2%</f>
        <v>33.165871200000005</v>
      </c>
      <c r="Y56" s="362">
        <f t="shared" si="33"/>
        <v>74.623210200000003</v>
      </c>
      <c r="Z56" s="362">
        <f t="shared" si="34"/>
        <v>389.69898660000007</v>
      </c>
      <c r="AA56" s="366">
        <f t="shared" si="35"/>
        <v>1268.5945733999999</v>
      </c>
      <c r="AB56" s="362"/>
      <c r="AC56" s="362"/>
      <c r="AD56" s="361">
        <f t="shared" si="36"/>
        <v>1268.5945733999999</v>
      </c>
      <c r="AE56" s="367"/>
      <c r="AF56" s="380"/>
      <c r="AG56" s="361"/>
      <c r="AH56" s="362"/>
      <c r="AI56" s="634"/>
      <c r="AJ56" s="614"/>
      <c r="AK56" s="634"/>
      <c r="AL56" s="634"/>
      <c r="AM56" s="636"/>
      <c r="AN56" s="17"/>
      <c r="AO56" s="17"/>
      <c r="AS56" s="8"/>
    </row>
    <row r="57" spans="1:45" s="1" customFormat="1" ht="33.75" customHeight="1" x14ac:dyDescent="0.2">
      <c r="A57" s="279">
        <v>5081</v>
      </c>
      <c r="B57" s="513" t="s">
        <v>67</v>
      </c>
      <c r="C57" s="279">
        <v>0</v>
      </c>
      <c r="D57" s="514"/>
      <c r="E57" s="514"/>
      <c r="F57" s="514"/>
      <c r="G57" s="280">
        <v>2669</v>
      </c>
      <c r="H57" s="279">
        <f t="shared" si="28"/>
        <v>2669</v>
      </c>
      <c r="I57" s="279"/>
      <c r="J57" s="279"/>
      <c r="K57" s="281">
        <f>H57*'DATOS REFERENCIALES'!$C$4</f>
        <v>17150.993999999999</v>
      </c>
      <c r="L57" s="281"/>
      <c r="M57" s="281"/>
      <c r="N57" s="283">
        <f>LOOKUP(C57,'TABLA ANTIG.'!$A$4:$A$39,'TABLA ANTIG.'!$B$4:$B$39)*(K57)</f>
        <v>0</v>
      </c>
      <c r="O57" s="283">
        <f t="shared" si="29"/>
        <v>1715.0994000000001</v>
      </c>
      <c r="P57" s="281">
        <f>'DATOS REFERENCIALES'!$D$8</f>
        <v>8550</v>
      </c>
      <c r="Q57" s="283">
        <f>LOOKUP(C57,'TABLA ANTIG.'!$A$4:$A$39,'TABLA ANTIG.'!$B$4:$B$39)*(P57)</f>
        <v>0</v>
      </c>
      <c r="R57" s="283">
        <v>0</v>
      </c>
      <c r="S57" s="283">
        <f>IF(C57&lt;12,IF(H57&gt;2042,'DATOS REFERENCIALES'!$D$14,'DATOS REFERENCIALES'!$D$14/2043*H57*D57),IF(C57&gt;11,IF(H57&gt;2042,'DATOS REFERENCIALES'!$D$15,'DATOS REFERENCIALES'!$D$15/2043*H57*D57)))</f>
        <v>0</v>
      </c>
      <c r="T57" s="283">
        <f>K57+N57+O57+P57+Q57+R57+S57</f>
        <v>27416.093399999998</v>
      </c>
      <c r="U57" s="283">
        <f t="shared" si="30"/>
        <v>3015.770274</v>
      </c>
      <c r="V57" s="283">
        <f t="shared" si="31"/>
        <v>822.48280199999988</v>
      </c>
      <c r="W57" s="283">
        <f t="shared" si="31"/>
        <v>822.48280199999988</v>
      </c>
      <c r="X57" s="283">
        <f t="shared" si="32"/>
        <v>548.32186799999999</v>
      </c>
      <c r="Y57" s="283">
        <f t="shared" si="33"/>
        <v>1233.7242029999998</v>
      </c>
      <c r="Z57" s="283">
        <f t="shared" si="34"/>
        <v>6442.7819489999993</v>
      </c>
      <c r="AA57" s="283">
        <f t="shared" si="35"/>
        <v>20973.311450999998</v>
      </c>
      <c r="AB57" s="515">
        <f>'DATOS REFERENCIALES'!$D$10</f>
        <v>3040</v>
      </c>
      <c r="AC57" s="420">
        <f>IF((IF(H57&gt;2042,('DATOS REFERENCIALES'!$D$9-(T57-U57-V57-W57-X57-Y57+AB57)+(S57-S57*0.235)),(('DATOS REFERENCIALES'!$D$9/2043)*H57)-(K57+N57+O57+P57+Q57+R57-U57-V57-W57-X57-Y57+AB57)))&lt;0,0,IF(H57&gt;2042,(('DATOS REFERENCIALES'!$D$9)-(T57-U57-V57-W57-X57-Y57+AB57)+(S57-S57*0.235)),(('DATOS REFERENCIALES'!$D$9/2043)*H57)-(K57+N57+O57+P57+Q57+R57-U57-V57-W57-X57-Y57+AB57)))</f>
        <v>10286.688548999999</v>
      </c>
      <c r="AD57" s="285">
        <f t="shared" si="36"/>
        <v>34300</v>
      </c>
      <c r="AE57" s="288">
        <f>'DATOS REFERENCIALES'!$D$13</f>
        <v>2420</v>
      </c>
      <c r="AF57" s="404"/>
      <c r="AG57" s="285">
        <f>IF($H57&gt;2043,'DATOS REFERENCIALES'!D17,'DATOS REFERENCIALES'!D17/2043*$H57)</f>
        <v>3000</v>
      </c>
      <c r="AH57" s="283">
        <f>'DATOS REFERENCIALES'!$D$12</f>
        <v>420</v>
      </c>
      <c r="AI57" s="639">
        <f>SUM(AD57:AH57)+SUM(AD58:AH58)</f>
        <v>41222.469146219999</v>
      </c>
      <c r="AJ57" s="637">
        <f>'DATOS REFERENCIALES'!D16</f>
        <v>1544</v>
      </c>
      <c r="AK57" s="639">
        <f>AJ57*$AK$52</f>
        <v>362.84</v>
      </c>
      <c r="AL57" s="639">
        <f>AJ57-AK57</f>
        <v>1181.1600000000001</v>
      </c>
      <c r="AM57" s="641">
        <f>AI57+AL57</f>
        <v>42403.629146220002</v>
      </c>
      <c r="AN57" s="17"/>
      <c r="AO57" s="17"/>
      <c r="AS57" s="8"/>
    </row>
    <row r="58" spans="1:45" s="1" customFormat="1" ht="33.75" customHeight="1" thickBot="1" x14ac:dyDescent="0.25">
      <c r="A58" s="331">
        <v>5081</v>
      </c>
      <c r="B58" s="516" t="s">
        <v>67</v>
      </c>
      <c r="C58" s="291">
        <f>IF(C57&gt;0,C57,0)</f>
        <v>0</v>
      </c>
      <c r="D58" s="517"/>
      <c r="E58" s="517"/>
      <c r="F58" s="517"/>
      <c r="G58" s="423"/>
      <c r="H58" s="331"/>
      <c r="I58" s="331">
        <v>200.18</v>
      </c>
      <c r="J58" s="518"/>
      <c r="K58" s="335"/>
      <c r="L58" s="335">
        <f>I58*'DATOS REFERENCIALES'!$C$4</f>
        <v>1286.3566800000001</v>
      </c>
      <c r="M58" s="335">
        <f>IF(J58='DATOS REFERENCIALES'!$C$30,K57*'DATOS REFERENCIALES'!$D$30,IF(J58='DATOS REFERENCIALES'!$C$31,('DATOS REFERENCIALES'!$D$31*K57),IF(J58='DATOS REFERENCIALES'!$C$32,('DATOS REFERENCIALES'!$D$32*K57),IF(J58='DATOS REFERENCIALES'!$C$33,('DATOS REFERENCIALES'!$D$33*K57),IF(J58='DATOS REFERENCIALES'!$C$34,('DATOS REFERENCIALES'!$D$34*K57),IF(J58='DATOS REFERENCIALES'!$C$35,('DATOS REFERENCIALES'!$D$35*K57),IF(J58='DATOS REFERENCIALES'!$C$36,('DATOS REFERENCIALES'!$D$36*K57),IF(J58='DATOS REFERENCIALES'!$C$37,('DATOS REFERENCIALES'!$D$37*K57),0))))))))</f>
        <v>0</v>
      </c>
      <c r="N58" s="302">
        <f>LOOKUP(C58,'TABLA ANTIG.'!$A$4:$A$39,'TABLA ANTIG.'!$B$4:$B$39)*(L58+M58)</f>
        <v>0</v>
      </c>
      <c r="O58" s="302">
        <f>(L58+M58)*0.1</f>
        <v>128.63566800000001</v>
      </c>
      <c r="P58" s="335"/>
      <c r="Q58" s="302"/>
      <c r="R58" s="300"/>
      <c r="S58" s="552"/>
      <c r="T58" s="302">
        <f>L58+M58+N58+O58+P58+Q58+R58</f>
        <v>1414.9923480000002</v>
      </c>
      <c r="U58" s="336">
        <f t="shared" si="30"/>
        <v>155.64915828000002</v>
      </c>
      <c r="V58" s="302">
        <f t="shared" si="31"/>
        <v>42.449770440000002</v>
      </c>
      <c r="W58" s="336">
        <f t="shared" si="31"/>
        <v>42.449770440000002</v>
      </c>
      <c r="X58" s="302">
        <f>$T58*2%</f>
        <v>28.299846960000004</v>
      </c>
      <c r="Y58" s="302">
        <f t="shared" si="33"/>
        <v>63.674655660000006</v>
      </c>
      <c r="Z58" s="302">
        <f t="shared" si="34"/>
        <v>332.52320178000002</v>
      </c>
      <c r="AA58" s="337">
        <f t="shared" si="35"/>
        <v>1082.4691462200003</v>
      </c>
      <c r="AB58" s="302"/>
      <c r="AC58" s="302"/>
      <c r="AD58" s="300">
        <f t="shared" si="36"/>
        <v>1082.4691462200003</v>
      </c>
      <c r="AE58" s="531"/>
      <c r="AF58" s="410"/>
      <c r="AG58" s="300"/>
      <c r="AH58" s="302"/>
      <c r="AI58" s="640"/>
      <c r="AJ58" s="674"/>
      <c r="AK58" s="675"/>
      <c r="AL58" s="675"/>
      <c r="AM58" s="676"/>
      <c r="AN58" s="17"/>
      <c r="AO58" s="17"/>
      <c r="AS58" s="8"/>
    </row>
    <row r="59" spans="1:45" s="1" customFormat="1" ht="21.75" customHeight="1" x14ac:dyDescent="0.2">
      <c r="A59" s="59">
        <v>5089</v>
      </c>
      <c r="B59" s="109" t="s">
        <v>65</v>
      </c>
      <c r="C59" s="59">
        <v>0</v>
      </c>
      <c r="D59" s="59"/>
      <c r="E59" s="59"/>
      <c r="F59" s="59"/>
      <c r="G59" s="52">
        <v>1008</v>
      </c>
      <c r="H59" s="35">
        <f t="shared" si="28"/>
        <v>1008</v>
      </c>
      <c r="I59" s="35"/>
      <c r="J59" s="35"/>
      <c r="K59" s="90">
        <f>H59*'DATOS REFERENCIALES'!$C$4</f>
        <v>6477.4080000000004</v>
      </c>
      <c r="L59" s="90"/>
      <c r="M59" s="90"/>
      <c r="N59" s="80">
        <f>LOOKUP(C59,'TABLA ANTIG.'!$A$4:$A$39,'TABLA ANTIG.'!$B$4:$B$39)*(K59)</f>
        <v>0</v>
      </c>
      <c r="O59" s="27">
        <f t="shared" si="29"/>
        <v>647.74080000000004</v>
      </c>
      <c r="P59" s="90">
        <f>'DATOS REFERENCIALES'!$C$8</f>
        <v>4275</v>
      </c>
      <c r="Q59" s="80">
        <f>LOOKUP(C59,'TABLA ANTIG.'!$A$4:$A$39,'TABLA ANTIG.'!$B$4:$B$39)*(P59)</f>
        <v>0</v>
      </c>
      <c r="R59" s="148">
        <v>0</v>
      </c>
      <c r="S59" s="197">
        <f>'DATOS REFERENCIALES'!$C$14</f>
        <v>0</v>
      </c>
      <c r="T59" s="549">
        <f>K59+N59+O59+P59+Q59+R59+S59</f>
        <v>11400.148800000001</v>
      </c>
      <c r="U59" s="80">
        <f t="shared" si="30"/>
        <v>1254.0163680000001</v>
      </c>
      <c r="V59" s="80">
        <f t="shared" si="31"/>
        <v>342.00446399999998</v>
      </c>
      <c r="W59" s="80">
        <f t="shared" si="31"/>
        <v>342.00446399999998</v>
      </c>
      <c r="X59" s="80">
        <f t="shared" si="32"/>
        <v>228.00297600000002</v>
      </c>
      <c r="Y59" s="80">
        <f t="shared" si="33"/>
        <v>513.00669600000003</v>
      </c>
      <c r="Z59" s="27">
        <f t="shared" si="34"/>
        <v>2679.0349680000004</v>
      </c>
      <c r="AA59" s="80">
        <f t="shared" si="35"/>
        <v>8721.1138320000009</v>
      </c>
      <c r="AB59" s="148">
        <f>'DATOS REFERENCIALES'!$C$10</f>
        <v>1520</v>
      </c>
      <c r="AC59" s="79">
        <f>IF((IF(H59&gt;1119,('DATOS REFERENCIALES'!$C$9-(T59-U59-V59-W59-X59-Y59+AB59-L59-L59*0.235-(S59-S59*0.235))),(('DATOS REFERENCIALES'!$C$9/1120)*H59)-(K59+N59+O59+P59+Q59+R59-U59-V59-W59-X59-Y59+AB59-(L59-L59*0.235)-(S59*0.235))))&lt;0,0,IF(H59&gt;1119,(('DATOS REFERENCIALES'!$C$9)-(T59-(U59+V59+W59+X59+Y59)+AB59-(L59-L59*0.235)+(S59-S59*0.235))),(('DATOS REFERENCIALES'!$C$9/1120)*H59)-((K59+N59+O59+P59+Q59+R59)-(U59+V59+W59+X59+Y59)+AB59)))</f>
        <v>5193.8861679999991</v>
      </c>
      <c r="AD59" s="131">
        <f t="shared" si="36"/>
        <v>15435</v>
      </c>
      <c r="AE59" s="92">
        <f>'DATOS REFERENCIALES'!$C$13</f>
        <v>1210</v>
      </c>
      <c r="AF59" s="275"/>
      <c r="AG59" s="79">
        <f>IF($H59&gt;1119,'DATOS REFERENCIALES'!C17,'DATOS REFERENCIALES'!C17/1120*$H59)</f>
        <v>1350</v>
      </c>
      <c r="AH59" s="80">
        <f>'DATOS REFERENCIALES'!$C$12</f>
        <v>210</v>
      </c>
      <c r="AI59" s="148">
        <f>SUM(AD59:AH59)</f>
        <v>18205</v>
      </c>
      <c r="AJ59" s="572">
        <f>'DATOS REFERENCIALES'!C16</f>
        <v>772</v>
      </c>
      <c r="AK59" s="572">
        <f>AJ59*$AK$52</f>
        <v>181.42</v>
      </c>
      <c r="AL59" s="572">
        <f>AJ59-AK59</f>
        <v>590.58000000000004</v>
      </c>
      <c r="AM59" s="572">
        <f>AI59+AL59</f>
        <v>18795.580000000002</v>
      </c>
      <c r="AN59" s="17"/>
      <c r="AO59" s="17"/>
      <c r="AS59" s="8"/>
    </row>
    <row r="60" spans="1:45" s="1" customFormat="1" ht="21.75" customHeight="1" x14ac:dyDescent="0.2">
      <c r="A60" s="59">
        <v>5088</v>
      </c>
      <c r="B60" s="109" t="s">
        <v>66</v>
      </c>
      <c r="C60" s="59">
        <v>0</v>
      </c>
      <c r="D60" s="59"/>
      <c r="E60" s="59"/>
      <c r="F60" s="59"/>
      <c r="G60" s="52">
        <v>823</v>
      </c>
      <c r="H60" s="35">
        <f t="shared" si="28"/>
        <v>823</v>
      </c>
      <c r="I60" s="35"/>
      <c r="J60" s="35"/>
      <c r="K60" s="90">
        <f>H60*'DATOS REFERENCIALES'!$C$4</f>
        <v>5288.598</v>
      </c>
      <c r="L60" s="90"/>
      <c r="M60" s="90"/>
      <c r="N60" s="80">
        <f>LOOKUP(C60,'TABLA ANTIG.'!$A$4:$A$39,'TABLA ANTIG.'!$B$4:$B$39)*(K60)</f>
        <v>0</v>
      </c>
      <c r="O60" s="27">
        <f t="shared" si="29"/>
        <v>528.85980000000006</v>
      </c>
      <c r="P60" s="90">
        <f>'DATOS REFERENCIALES'!$C$8</f>
        <v>4275</v>
      </c>
      <c r="Q60" s="80">
        <f>LOOKUP(C60,'TABLA ANTIG.'!$A$4:$A$39,'TABLA ANTIG.'!$B$4:$B$39)*(P60)</f>
        <v>0</v>
      </c>
      <c r="R60" s="148">
        <v>0</v>
      </c>
      <c r="S60" s="80">
        <f>'DATOS REFERENCIALES'!$C$14</f>
        <v>0</v>
      </c>
      <c r="T60" s="27">
        <f>K60+N60+O60+P60+Q60+R60+S60</f>
        <v>10092.4578</v>
      </c>
      <c r="U60" s="80">
        <f t="shared" si="30"/>
        <v>1110.1703580000001</v>
      </c>
      <c r="V60" s="80">
        <f t="shared" si="31"/>
        <v>302.77373399999999</v>
      </c>
      <c r="W60" s="80">
        <f t="shared" si="31"/>
        <v>302.77373399999999</v>
      </c>
      <c r="X60" s="80">
        <f t="shared" si="32"/>
        <v>201.84915599999999</v>
      </c>
      <c r="Y60" s="80">
        <f t="shared" si="33"/>
        <v>454.16060099999999</v>
      </c>
      <c r="Z60" s="27">
        <f t="shared" si="34"/>
        <v>2371.7275829999999</v>
      </c>
      <c r="AA60" s="80">
        <f t="shared" si="35"/>
        <v>7720.7302170000003</v>
      </c>
      <c r="AB60" s="148">
        <f>'DATOS REFERENCIALES'!$C$10</f>
        <v>1520</v>
      </c>
      <c r="AC60" s="80">
        <f>IF((IF(H60&gt;1119,('DATOS REFERENCIALES'!$C$9-(T60-U60-V60-W60-X60-Y60+AB60-L60-L60*0.235-(S60-S60*0.235))),(('DATOS REFERENCIALES'!$C$9/1120)*H60)-(K60+N60+O60+P60+Q60+R60-U60-V60-W60-X60-Y60+AB60-(L60-L60*0.235)-(S60*0.235))))&lt;0,0,IF(H60&gt;1119,(('DATOS REFERENCIALES'!$C$9)-(T60-(U60+V60+W60+X60+Y60)+AB60-(L60-L60*0.235)+(S60-S60*0.235))),(('DATOS REFERENCIALES'!$C$9/1120)*H60)-((K60+N60+O60+P60+Q60+R60)-(U60+V60+W60+X60+Y60)+AB60)))</f>
        <v>3361.4572829999997</v>
      </c>
      <c r="AD60" s="131">
        <f t="shared" si="36"/>
        <v>12602.1875</v>
      </c>
      <c r="AE60" s="92">
        <f>'DATOS REFERENCIALES'!$C$13</f>
        <v>1210</v>
      </c>
      <c r="AF60" s="275"/>
      <c r="AG60" s="80">
        <f>IF($H60&gt;1119,'DATOS REFERENCIALES'!C17,'DATOS REFERENCIALES'!C17/1120*$H60)</f>
        <v>1102.2321428571429</v>
      </c>
      <c r="AH60" s="80">
        <f>'DATOS REFERENCIALES'!$C$12</f>
        <v>210</v>
      </c>
      <c r="AI60" s="148">
        <f>SUM(AD60:AH60)</f>
        <v>15124.419642857143</v>
      </c>
      <c r="AJ60" s="582">
        <f>'DATOS REFERENCIALES'!C16</f>
        <v>772</v>
      </c>
      <c r="AK60" s="582">
        <f>AJ60*$AK$52</f>
        <v>181.42</v>
      </c>
      <c r="AL60" s="582">
        <f>AJ60-AK60</f>
        <v>590.58000000000004</v>
      </c>
      <c r="AM60" s="582">
        <f>AI60+AL60</f>
        <v>15714.999642857143</v>
      </c>
      <c r="AN60" s="17"/>
      <c r="AO60" s="17"/>
      <c r="AS60" s="8"/>
    </row>
    <row r="61" spans="1:45" s="1" customFormat="1" ht="21.75" customHeight="1" x14ac:dyDescent="0.2">
      <c r="A61" s="59">
        <v>1549</v>
      </c>
      <c r="B61" s="166" t="s">
        <v>56</v>
      </c>
      <c r="C61" s="59">
        <v>0</v>
      </c>
      <c r="D61" s="59">
        <v>18</v>
      </c>
      <c r="E61" s="59"/>
      <c r="F61" s="59"/>
      <c r="G61" s="52">
        <v>1008</v>
      </c>
      <c r="H61" s="35">
        <f t="shared" si="28"/>
        <v>1008</v>
      </c>
      <c r="I61" s="35"/>
      <c r="J61" s="35"/>
      <c r="K61" s="90">
        <f>H61*'DATOS REFERENCIALES'!$C$4</f>
        <v>6477.4080000000004</v>
      </c>
      <c r="L61" s="90"/>
      <c r="M61" s="90"/>
      <c r="N61" s="80">
        <f>LOOKUP(C61,'TABLA ANTIG.'!$A$4:$A$39,'TABLA ANTIG.'!$B$4:$B$39)*(K61)</f>
        <v>0</v>
      </c>
      <c r="O61" s="27">
        <f t="shared" si="29"/>
        <v>647.74080000000004</v>
      </c>
      <c r="P61" s="116">
        <f>'DATOS REFERENCIALES'!$E$8*18</f>
        <v>4050</v>
      </c>
      <c r="Q61" s="80">
        <f>LOOKUP(C61,'TABLA ANTIG.'!$A$4:$A$39,'TABLA ANTIG.'!$B$4:$B$39)*(P61)</f>
        <v>0</v>
      </c>
      <c r="R61" s="148">
        <v>0</v>
      </c>
      <c r="S61" s="90">
        <f>IF(D61&gt;29.99,'DATOS REFERENCIALES'!$D$14,'DATOS REFERENCIALES'!$E$14*D61)</f>
        <v>0</v>
      </c>
      <c r="T61" s="27">
        <f>K61+N61+O61+P61+Q61+R61+S61</f>
        <v>11175.148800000001</v>
      </c>
      <c r="U61" s="80">
        <f t="shared" si="30"/>
        <v>1229.2663680000001</v>
      </c>
      <c r="V61" s="80">
        <f t="shared" si="31"/>
        <v>335.25446400000004</v>
      </c>
      <c r="W61" s="80">
        <f t="shared" si="31"/>
        <v>335.25446400000004</v>
      </c>
      <c r="X61" s="80">
        <f t="shared" si="32"/>
        <v>223.50297600000002</v>
      </c>
      <c r="Y61" s="80">
        <f t="shared" si="33"/>
        <v>502.88169600000003</v>
      </c>
      <c r="Z61" s="27">
        <f t="shared" si="34"/>
        <v>2626.1599680000004</v>
      </c>
      <c r="AA61" s="80">
        <f t="shared" si="35"/>
        <v>8548.9888320000009</v>
      </c>
      <c r="AB61" s="170">
        <f>'DATOS REFERENCIALES'!$E$10*18</f>
        <v>1440</v>
      </c>
      <c r="AC61" s="80">
        <f>IF((IF(H61&gt;1119,('DATOS REFERENCIALES'!$C$9-(T61-U61-V61-W61-X61-Y61+AB61-L61-L61*0.235-(S61-S61*0.235))),(('DATOS REFERENCIALES'!$C$9/1120)*H61)-(K61+N61+O61+P61+Q61+R61-U61-V61-W61-X61-Y61+AB61-(L61-L61*0.235)-(S61*0.235))))&lt;0,0,IF(H61&gt;1119,(('DATOS REFERENCIALES'!$C$9)-(T61-(U61+V61+W61+X61+Y61)+AB61-(L61-L61*0.235)+(S61-S61*0.235))),(('DATOS REFERENCIALES'!$C$9/1120)*H61)-((K61+N61+O61+P61+Q61+R61)-(U61+V61+W61+X61+Y61)+AB61)))</f>
        <v>5446.0111679999991</v>
      </c>
      <c r="AD61" s="131">
        <f t="shared" si="36"/>
        <v>15435</v>
      </c>
      <c r="AE61" s="92">
        <f>'DATOS REFERENCIALES'!E13*18</f>
        <v>1451.9998799999998</v>
      </c>
      <c r="AF61" s="275"/>
      <c r="AG61" s="80">
        <f>IF(D61&gt;'DATOS REFERENCIALES'!$I$17,'DATOS REFERENCIALES'!$D$17,('DATOS REFERENCIALES'!$E$17*D61))</f>
        <v>1350</v>
      </c>
      <c r="AH61" s="80">
        <f>IF(D61&gt;'DATOS REFERENCIALES'!$I$12,'DATOS REFERENCIALES'!$D$12,'DATOS REFERENCIALES'!$E$12*D61)</f>
        <v>252</v>
      </c>
      <c r="AI61" s="148">
        <f>SUM(AD61:AH61)</f>
        <v>18488.999879999999</v>
      </c>
      <c r="AJ61" s="580">
        <f>IF(D61&gt;'DATOS REFERENCIALES'!$I$16,'DATOS REFERENCIALES'!$D$16,'DATOS REFERENCIALES'!$E$16*D61)</f>
        <v>926.46</v>
      </c>
      <c r="AK61" s="582">
        <f>AJ61*$AK$52</f>
        <v>217.71809999999999</v>
      </c>
      <c r="AL61" s="582">
        <f>AJ61-AK61</f>
        <v>708.74189999999999</v>
      </c>
      <c r="AM61" s="582">
        <f>AI61+AL61</f>
        <v>19197.74178</v>
      </c>
      <c r="AN61" s="17"/>
      <c r="AO61" s="17"/>
      <c r="AS61" s="8"/>
    </row>
    <row r="62" spans="1:45" s="1" customFormat="1" ht="21.75" customHeight="1" thickBot="1" x14ac:dyDescent="0.25">
      <c r="A62" s="60">
        <v>1550</v>
      </c>
      <c r="B62" s="167" t="s">
        <v>57</v>
      </c>
      <c r="C62" s="60">
        <v>0</v>
      </c>
      <c r="D62" s="60">
        <v>12</v>
      </c>
      <c r="E62" s="60"/>
      <c r="F62" s="60"/>
      <c r="G62" s="53">
        <v>672</v>
      </c>
      <c r="H62" s="57">
        <f t="shared" si="28"/>
        <v>672</v>
      </c>
      <c r="I62" s="57"/>
      <c r="J62" s="57"/>
      <c r="K62" s="91">
        <f>H62*'DATOS REFERENCIALES'!$C$4</f>
        <v>4318.2719999999999</v>
      </c>
      <c r="L62" s="91"/>
      <c r="M62" s="91"/>
      <c r="N62" s="81">
        <f>LOOKUP(C62,'TABLA ANTIG.'!$A$4:$A$39,'TABLA ANTIG.'!$B$4:$B$39)*(K62)</f>
        <v>0</v>
      </c>
      <c r="O62" s="28">
        <f t="shared" si="29"/>
        <v>431.8272</v>
      </c>
      <c r="P62" s="117">
        <f>'DATOS REFERENCIALES'!$E$8*12</f>
        <v>2700</v>
      </c>
      <c r="Q62" s="81">
        <f>LOOKUP(C62,'TABLA ANTIG.'!$A$4:$A$39,'TABLA ANTIG.'!$B$4:$B$39)*(P62)</f>
        <v>0</v>
      </c>
      <c r="R62" s="151">
        <v>0</v>
      </c>
      <c r="S62" s="91">
        <f>IF(D62&gt;29.99,'DATOS REFERENCIALES'!$D$14,'DATOS REFERENCIALES'!$E$14*D62)</f>
        <v>0</v>
      </c>
      <c r="T62" s="28">
        <f>K62+N62+O62+P62+Q62+R62+S62</f>
        <v>7450.0991999999997</v>
      </c>
      <c r="U62" s="81">
        <f t="shared" si="30"/>
        <v>819.51091199999996</v>
      </c>
      <c r="V62" s="81">
        <f t="shared" si="31"/>
        <v>223.50297599999999</v>
      </c>
      <c r="W62" s="81">
        <f t="shared" si="31"/>
        <v>223.50297599999999</v>
      </c>
      <c r="X62" s="81">
        <f t="shared" si="32"/>
        <v>149.00198399999999</v>
      </c>
      <c r="Y62" s="81">
        <f t="shared" si="33"/>
        <v>335.25446399999998</v>
      </c>
      <c r="Z62" s="28">
        <f t="shared" si="34"/>
        <v>1750.7733119999998</v>
      </c>
      <c r="AA62" s="81">
        <f t="shared" si="35"/>
        <v>5699.3258879999994</v>
      </c>
      <c r="AB62" s="172">
        <f>'DATOS REFERENCIALES'!$E$10*12</f>
        <v>960</v>
      </c>
      <c r="AC62" s="81">
        <f>IF((IF(H62&gt;1119,('DATOS REFERENCIALES'!$C$9-(T62-U62-V62-W62-X62-Y62+AB62-L62-L62*0.235-(S62-S62*0.235))),(('DATOS REFERENCIALES'!$C$9/1120)*H62)-(K62+N62+O62+P62+Q62+R62-U62-V62-W62-X62-Y62+AB62-(L62-L62*0.235)-(S62*0.235))))&lt;0,0,IF(H62&gt;1119,(('DATOS REFERENCIALES'!$C$9)-(T62-(U62+V62+W62+X62+Y62)+AB62-(L62-L62*0.235)+(S62-S62*0.235))),(('DATOS REFERENCIALES'!$C$9/1120)*H62)-((K62+N62+O62+P62+Q62+R62)-(U62+V62+W62+X62+Y62)+AB62)))</f>
        <v>3630.6741120000006</v>
      </c>
      <c r="AD62" s="132">
        <f t="shared" si="36"/>
        <v>10290</v>
      </c>
      <c r="AE62" s="93">
        <f>'DATOS REFERENCIALES'!E13*12</f>
        <v>967.99991999999997</v>
      </c>
      <c r="AF62" s="273"/>
      <c r="AG62" s="81">
        <f>IF(D62&gt;'DATOS REFERENCIALES'!$I$17,'DATOS REFERENCIALES'!$D$17,('DATOS REFERENCIALES'!$E$17*D62))</f>
        <v>900</v>
      </c>
      <c r="AH62" s="81">
        <f>IF(D62&gt;'DATOS REFERENCIALES'!$I$12,'DATOS REFERENCIALES'!$D$12,'DATOS REFERENCIALES'!$E$12*D62)</f>
        <v>168</v>
      </c>
      <c r="AI62" s="151">
        <f>SUM(AD62:AH62)</f>
        <v>12325.99992</v>
      </c>
      <c r="AJ62" s="581">
        <f>IF(D62&gt;'DATOS REFERENCIALES'!$I$16,'DATOS REFERENCIALES'!$D$16,'DATOS REFERENCIALES'!$E$16*D62)</f>
        <v>617.64</v>
      </c>
      <c r="AK62" s="573">
        <f>AJ62*$AK$52</f>
        <v>145.1454</v>
      </c>
      <c r="AL62" s="573">
        <f>AJ62-AK62</f>
        <v>472.49459999999999</v>
      </c>
      <c r="AM62" s="573">
        <f>AI62+AL62</f>
        <v>12798.49452</v>
      </c>
      <c r="AN62" s="17"/>
      <c r="AO62" s="17"/>
      <c r="AS62" s="8"/>
    </row>
    <row r="63" spans="1:45" s="1" customFormat="1" ht="21.75" customHeight="1" thickBot="1" x14ac:dyDescent="0.25">
      <c r="A63" s="124"/>
      <c r="B63" s="125"/>
      <c r="C63" s="126"/>
      <c r="D63" s="126"/>
      <c r="E63" s="126"/>
      <c r="F63" s="126"/>
      <c r="G63" s="67"/>
      <c r="H63" s="44"/>
      <c r="I63" s="44"/>
      <c r="J63" s="44"/>
      <c r="K63" s="41"/>
      <c r="L63" s="41"/>
      <c r="M63" s="41"/>
      <c r="N63" s="42"/>
      <c r="O63" s="74"/>
      <c r="P63" s="129"/>
      <c r="Q63" s="42"/>
      <c r="R63" s="127"/>
      <c r="S63" s="127"/>
      <c r="T63" s="74"/>
      <c r="U63" s="127"/>
      <c r="V63" s="127"/>
      <c r="W63" s="127"/>
      <c r="X63" s="42"/>
      <c r="Y63" s="42"/>
      <c r="Z63" s="74"/>
      <c r="AA63" s="45"/>
      <c r="AB63" s="130"/>
      <c r="AC63" s="45"/>
      <c r="AD63" s="45"/>
      <c r="AE63" s="47"/>
      <c r="AF63" s="47"/>
      <c r="AG63" s="45"/>
      <c r="AH63" s="45"/>
      <c r="AI63" s="45"/>
      <c r="AJ63" s="13"/>
      <c r="AK63" s="13"/>
      <c r="AL63" s="13"/>
      <c r="AM63" s="16"/>
      <c r="AN63" s="17"/>
      <c r="AO63" s="17"/>
      <c r="AS63" s="8"/>
    </row>
    <row r="64" spans="1:45" s="1" customFormat="1" ht="21" thickBot="1" x14ac:dyDescent="0.35">
      <c r="A64" s="95" t="s">
        <v>135</v>
      </c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5" t="s">
        <v>135</v>
      </c>
      <c r="AF64" s="96"/>
      <c r="AG64" s="96"/>
      <c r="AH64" s="96"/>
      <c r="AI64" s="96"/>
      <c r="AJ64" s="13"/>
      <c r="AK64" s="13"/>
      <c r="AL64" s="13"/>
      <c r="AM64" s="16"/>
      <c r="AN64" s="17"/>
      <c r="AO64" s="17"/>
    </row>
    <row r="65" spans="1:41" s="2" customFormat="1" ht="12.75" customHeight="1" thickBot="1" x14ac:dyDescent="0.25">
      <c r="A65" s="687" t="s">
        <v>1</v>
      </c>
      <c r="B65" s="687" t="s">
        <v>0</v>
      </c>
      <c r="C65" s="629" t="s">
        <v>77</v>
      </c>
      <c r="D65" s="629" t="s">
        <v>119</v>
      </c>
      <c r="E65" s="629" t="s">
        <v>127</v>
      </c>
      <c r="F65" s="629" t="s">
        <v>113</v>
      </c>
      <c r="G65" s="629" t="s">
        <v>102</v>
      </c>
      <c r="H65" s="629" t="s">
        <v>79</v>
      </c>
      <c r="I65" s="629" t="s">
        <v>148</v>
      </c>
      <c r="J65" s="627" t="s">
        <v>147</v>
      </c>
      <c r="K65" s="627" t="s">
        <v>121</v>
      </c>
      <c r="L65" s="627" t="s">
        <v>146</v>
      </c>
      <c r="M65" s="627" t="s">
        <v>147</v>
      </c>
      <c r="N65" s="720" t="s">
        <v>85</v>
      </c>
      <c r="O65" s="645" t="s">
        <v>120</v>
      </c>
      <c r="P65" s="647" t="s">
        <v>86</v>
      </c>
      <c r="Q65" s="645" t="s">
        <v>101</v>
      </c>
      <c r="R65" s="645" t="s">
        <v>84</v>
      </c>
      <c r="S65" s="629" t="s">
        <v>192</v>
      </c>
      <c r="T65" s="645" t="s">
        <v>69</v>
      </c>
      <c r="U65" s="651" t="s">
        <v>59</v>
      </c>
      <c r="V65" s="651"/>
      <c r="W65" s="651"/>
      <c r="X65" s="651"/>
      <c r="Y65" s="651"/>
      <c r="Z65" s="629" t="s">
        <v>68</v>
      </c>
      <c r="AA65" s="629" t="s">
        <v>89</v>
      </c>
      <c r="AB65" s="629" t="s">
        <v>88</v>
      </c>
      <c r="AC65" s="629" t="s">
        <v>87</v>
      </c>
      <c r="AD65" s="629" t="s">
        <v>91</v>
      </c>
      <c r="AE65" s="629" t="s">
        <v>90</v>
      </c>
      <c r="AF65" s="629" t="s">
        <v>174</v>
      </c>
      <c r="AG65" s="629" t="s">
        <v>196</v>
      </c>
      <c r="AH65" s="673" t="s">
        <v>145</v>
      </c>
      <c r="AI65" s="629" t="s">
        <v>92</v>
      </c>
      <c r="AJ65" s="629" t="s">
        <v>192</v>
      </c>
      <c r="AK65" s="631" t="s">
        <v>68</v>
      </c>
      <c r="AL65" s="629" t="s">
        <v>194</v>
      </c>
      <c r="AM65" s="629" t="s">
        <v>195</v>
      </c>
      <c r="AN65" s="17"/>
      <c r="AO65" s="17"/>
    </row>
    <row r="66" spans="1:41" s="2" customFormat="1" ht="92.25" customHeight="1" thickBot="1" x14ac:dyDescent="0.25">
      <c r="A66" s="725"/>
      <c r="B66" s="725"/>
      <c r="C66" s="677"/>
      <c r="D66" s="677"/>
      <c r="E66" s="677"/>
      <c r="F66" s="677"/>
      <c r="G66" s="677"/>
      <c r="H66" s="677"/>
      <c r="I66" s="630"/>
      <c r="J66" s="628"/>
      <c r="K66" s="726"/>
      <c r="L66" s="726"/>
      <c r="M66" s="726"/>
      <c r="N66" s="730"/>
      <c r="O66" s="680"/>
      <c r="P66" s="729"/>
      <c r="Q66" s="680"/>
      <c r="R66" s="680"/>
      <c r="S66" s="677"/>
      <c r="T66" s="680"/>
      <c r="U66" s="98" t="s">
        <v>141</v>
      </c>
      <c r="V66" s="98" t="s">
        <v>61</v>
      </c>
      <c r="W66" s="98" t="s">
        <v>62</v>
      </c>
      <c r="X66" s="98" t="s">
        <v>63</v>
      </c>
      <c r="Y66" s="98" t="s">
        <v>64</v>
      </c>
      <c r="Z66" s="677"/>
      <c r="AA66" s="677"/>
      <c r="AB66" s="677"/>
      <c r="AC66" s="677"/>
      <c r="AD66" s="677"/>
      <c r="AE66" s="677"/>
      <c r="AF66" s="630"/>
      <c r="AG66" s="630"/>
      <c r="AH66" s="630"/>
      <c r="AI66" s="677"/>
      <c r="AJ66" s="630"/>
      <c r="AK66" s="632"/>
      <c r="AL66" s="630"/>
      <c r="AM66" s="630"/>
      <c r="AN66" s="17"/>
      <c r="AO66" s="17"/>
    </row>
  </sheetData>
  <mergeCells count="180">
    <mergeCell ref="A53:A54"/>
    <mergeCell ref="C65:C66"/>
    <mergeCell ref="D65:D66"/>
    <mergeCell ref="B65:B66"/>
    <mergeCell ref="G53:G54"/>
    <mergeCell ref="H53:H54"/>
    <mergeCell ref="A65:A66"/>
    <mergeCell ref="G65:G66"/>
    <mergeCell ref="H65:H66"/>
    <mergeCell ref="F65:F66"/>
    <mergeCell ref="C53:C54"/>
    <mergeCell ref="E53:E54"/>
    <mergeCell ref="E65:E66"/>
    <mergeCell ref="F53:F54"/>
    <mergeCell ref="B53:B54"/>
    <mergeCell ref="Z9:Z10"/>
    <mergeCell ref="O9:O10"/>
    <mergeCell ref="E9:E10"/>
    <mergeCell ref="P32:P33"/>
    <mergeCell ref="O32:O33"/>
    <mergeCell ref="N9:N10"/>
    <mergeCell ref="K9:K10"/>
    <mergeCell ref="L9:L10"/>
    <mergeCell ref="K53:K54"/>
    <mergeCell ref="J9:J10"/>
    <mergeCell ref="Q32:Q33"/>
    <mergeCell ref="T32:T33"/>
    <mergeCell ref="U32:Y32"/>
    <mergeCell ref="R32:R33"/>
    <mergeCell ref="S9:S10"/>
    <mergeCell ref="S32:S33"/>
    <mergeCell ref="D53:D54"/>
    <mergeCell ref="E32:E33"/>
    <mergeCell ref="G32:G33"/>
    <mergeCell ref="H32:H33"/>
    <mergeCell ref="I32:I33"/>
    <mergeCell ref="F9:F10"/>
    <mergeCell ref="I65:I66"/>
    <mergeCell ref="O65:O66"/>
    <mergeCell ref="J65:J66"/>
    <mergeCell ref="L65:L66"/>
    <mergeCell ref="M65:M66"/>
    <mergeCell ref="I53:I54"/>
    <mergeCell ref="J53:J54"/>
    <mergeCell ref="K65:K66"/>
    <mergeCell ref="O53:O54"/>
    <mergeCell ref="L53:L54"/>
    <mergeCell ref="M53:M54"/>
    <mergeCell ref="N65:N66"/>
    <mergeCell ref="P53:P54"/>
    <mergeCell ref="U53:Y53"/>
    <mergeCell ref="S53:S54"/>
    <mergeCell ref="S65:S66"/>
    <mergeCell ref="N53:N54"/>
    <mergeCell ref="AB53:AB54"/>
    <mergeCell ref="AC65:AC66"/>
    <mergeCell ref="AE65:AE66"/>
    <mergeCell ref="Z65:Z66"/>
    <mergeCell ref="T53:T54"/>
    <mergeCell ref="P65:P66"/>
    <mergeCell ref="Q65:Q66"/>
    <mergeCell ref="AB65:AB66"/>
    <mergeCell ref="Z53:Z54"/>
    <mergeCell ref="AA53:AA54"/>
    <mergeCell ref="Q53:Q54"/>
    <mergeCell ref="AA65:AA66"/>
    <mergeCell ref="AC53:AC54"/>
    <mergeCell ref="U65:Y65"/>
    <mergeCell ref="T65:T66"/>
    <mergeCell ref="R53:R54"/>
    <mergeCell ref="R65:R66"/>
    <mergeCell ref="AH65:AH66"/>
    <mergeCell ref="AH32:AH33"/>
    <mergeCell ref="AD31:AI31"/>
    <mergeCell ref="AG32:AG33"/>
    <mergeCell ref="AG53:AG54"/>
    <mergeCell ref="AD53:AD54"/>
    <mergeCell ref="AE53:AE54"/>
    <mergeCell ref="AI65:AI66"/>
    <mergeCell ref="AG65:AG66"/>
    <mergeCell ref="AE32:AE33"/>
    <mergeCell ref="AD65:AD66"/>
    <mergeCell ref="AI32:AI33"/>
    <mergeCell ref="AI34:AI35"/>
    <mergeCell ref="AI36:AI37"/>
    <mergeCell ref="AI38:AI39"/>
    <mergeCell ref="AI55:AI56"/>
    <mergeCell ref="AI57:AI58"/>
    <mergeCell ref="AI53:AI54"/>
    <mergeCell ref="AH53:AH54"/>
    <mergeCell ref="AF53:AF54"/>
    <mergeCell ref="AF65:AF66"/>
    <mergeCell ref="A6:AI6"/>
    <mergeCell ref="K3:AA5"/>
    <mergeCell ref="A7:AE7"/>
    <mergeCell ref="H9:H10"/>
    <mergeCell ref="AB9:AB10"/>
    <mergeCell ref="A8:AI8"/>
    <mergeCell ref="AI9:AI10"/>
    <mergeCell ref="A9:A10"/>
    <mergeCell ref="AC9:AC10"/>
    <mergeCell ref="AD9:AD10"/>
    <mergeCell ref="G9:G10"/>
    <mergeCell ref="U9:Y9"/>
    <mergeCell ref="P9:P10"/>
    <mergeCell ref="M9:M10"/>
    <mergeCell ref="I9:I10"/>
    <mergeCell ref="AE9:AE10"/>
    <mergeCell ref="AF9:AF10"/>
    <mergeCell ref="B9:B10"/>
    <mergeCell ref="AG9:AG10"/>
    <mergeCell ref="AH9:AH10"/>
    <mergeCell ref="D9:D10"/>
    <mergeCell ref="C9:C10"/>
    <mergeCell ref="A32:A33"/>
    <mergeCell ref="AD32:AD33"/>
    <mergeCell ref="AC32:AC33"/>
    <mergeCell ref="B32:B33"/>
    <mergeCell ref="AJ9:AJ10"/>
    <mergeCell ref="AK9:AK10"/>
    <mergeCell ref="AA9:AA10"/>
    <mergeCell ref="R9:R10"/>
    <mergeCell ref="Q9:Q10"/>
    <mergeCell ref="T9:T10"/>
    <mergeCell ref="AF32:AF33"/>
    <mergeCell ref="Z32:Z33"/>
    <mergeCell ref="AB32:AB33"/>
    <mergeCell ref="AA32:AA33"/>
    <mergeCell ref="J32:J33"/>
    <mergeCell ref="L32:L33"/>
    <mergeCell ref="M32:M33"/>
    <mergeCell ref="AI12:AI13"/>
    <mergeCell ref="AI14:AI15"/>
    <mergeCell ref="C32:C33"/>
    <mergeCell ref="F32:F33"/>
    <mergeCell ref="N32:N33"/>
    <mergeCell ref="K32:K33"/>
    <mergeCell ref="D32:D33"/>
    <mergeCell ref="AJ38:AJ39"/>
    <mergeCell ref="AK38:AK39"/>
    <mergeCell ref="AJ53:AJ54"/>
    <mergeCell ref="AK53:AK54"/>
    <mergeCell ref="AL53:AL54"/>
    <mergeCell ref="AJ36:AJ37"/>
    <mergeCell ref="AK36:AK37"/>
    <mergeCell ref="AL36:AL37"/>
    <mergeCell ref="AL9:AL10"/>
    <mergeCell ref="AJ32:AJ33"/>
    <mergeCell ref="AK32:AK33"/>
    <mergeCell ref="AL32:AL33"/>
    <mergeCell ref="AK14:AK15"/>
    <mergeCell ref="AK12:AK13"/>
    <mergeCell ref="AL12:AL13"/>
    <mergeCell ref="AL14:AL15"/>
    <mergeCell ref="AL34:AL35"/>
    <mergeCell ref="AL38:AL39"/>
    <mergeCell ref="AM38:AM39"/>
    <mergeCell ref="AJ55:AJ56"/>
    <mergeCell ref="AM34:AM35"/>
    <mergeCell ref="AJ65:AJ66"/>
    <mergeCell ref="AK65:AK66"/>
    <mergeCell ref="AL65:AL66"/>
    <mergeCell ref="AM9:AM10"/>
    <mergeCell ref="AM32:AM33"/>
    <mergeCell ref="AM53:AM54"/>
    <mergeCell ref="AM65:AM66"/>
    <mergeCell ref="AJ12:AJ13"/>
    <mergeCell ref="AK55:AK56"/>
    <mergeCell ref="AL55:AL56"/>
    <mergeCell ref="AM55:AM56"/>
    <mergeCell ref="AM12:AM13"/>
    <mergeCell ref="AJ14:AJ15"/>
    <mergeCell ref="AM14:AM15"/>
    <mergeCell ref="AJ34:AJ35"/>
    <mergeCell ref="AK34:AK35"/>
    <mergeCell ref="AJ57:AJ58"/>
    <mergeCell ref="AK57:AK58"/>
    <mergeCell ref="AL57:AL58"/>
    <mergeCell ref="AM57:AM58"/>
    <mergeCell ref="AM36:AM37"/>
  </mergeCells>
  <pageMargins left="0.7" right="0.7" top="0.75" bottom="0.75" header="0.3" footer="0.3"/>
  <pageSetup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'DATOS REFERENCIALES'!$C$30:$C$37</xm:f>
          </x14:formula1>
          <xm:sqref>J35</xm:sqref>
        </x14:dataValidation>
        <x14:dataValidation type="list" allowBlank="1" showInputMessage="1" showErrorMessage="1">
          <x14:formula1>
            <xm:f>'DATOS REFERENCIALES'!$C$30:$C$37</xm:f>
          </x14:formula1>
          <xm:sqref>J56</xm:sqref>
        </x14:dataValidation>
        <x14:dataValidation type="list" allowBlank="1" showInputMessage="1" showErrorMessage="1">
          <x14:formula1>
            <xm:f>'DATOS REFERENCIALES'!$C$30:$C$37</xm:f>
          </x14:formula1>
          <xm:sqref>J13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R36"/>
  <sheetViews>
    <sheetView zoomScale="66" zoomScaleNormal="66" workbookViewId="0">
      <selection activeCell="A6" sqref="A6:AH6"/>
    </sheetView>
  </sheetViews>
  <sheetFormatPr baseColWidth="10" defaultRowHeight="12.75" x14ac:dyDescent="0.2"/>
  <cols>
    <col min="2" max="2" width="57.140625" bestFit="1" customWidth="1"/>
    <col min="5" max="5" width="12.7109375" hidden="1" customWidth="1"/>
    <col min="6" max="7" width="0" hidden="1" customWidth="1"/>
    <col min="8" max="8" width="11.42578125" customWidth="1"/>
    <col min="9" max="10" width="14" customWidth="1"/>
    <col min="11" max="13" width="14.7109375" customWidth="1"/>
    <col min="14" max="14" width="17" customWidth="1"/>
    <col min="15" max="15" width="18.5703125" customWidth="1"/>
    <col min="16" max="16" width="14.42578125" customWidth="1"/>
    <col min="17" max="17" width="17" customWidth="1"/>
    <col min="18" max="18" width="0" hidden="1" customWidth="1"/>
    <col min="19" max="19" width="16.140625" customWidth="1"/>
    <col min="20" max="20" width="15.28515625" customWidth="1"/>
    <col min="21" max="21" width="14.5703125" customWidth="1"/>
    <col min="22" max="22" width="13.28515625" customWidth="1"/>
    <col min="23" max="23" width="13" customWidth="1"/>
    <col min="24" max="24" width="12.5703125" customWidth="1"/>
    <col min="25" max="25" width="13.140625" customWidth="1"/>
    <col min="26" max="26" width="15" customWidth="1"/>
    <col min="27" max="27" width="16.7109375" customWidth="1"/>
    <col min="28" max="28" width="13.5703125" customWidth="1"/>
    <col min="29" max="29" width="15.140625" customWidth="1"/>
    <col min="30" max="31" width="14.85546875" bestFit="1" customWidth="1"/>
    <col min="32" max="33" width="15" customWidth="1"/>
    <col min="34" max="34" width="14.85546875" bestFit="1" customWidth="1"/>
    <col min="35" max="35" width="13.5703125" customWidth="1"/>
    <col min="36" max="36" width="11.85546875" bestFit="1" customWidth="1"/>
    <col min="37" max="37" width="13.28515625" bestFit="1" customWidth="1"/>
    <col min="38" max="38" width="15" customWidth="1"/>
  </cols>
  <sheetData>
    <row r="1" spans="1:44" s="1" customFormat="1" x14ac:dyDescent="0.2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44" s="1" customFormat="1" x14ac:dyDescent="0.2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44" s="1" customFormat="1" ht="12.75" customHeight="1" x14ac:dyDescent="0.2">
      <c r="A3" s="10"/>
      <c r="C3" s="13"/>
      <c r="D3" s="13"/>
      <c r="E3" s="13"/>
      <c r="F3" s="13"/>
      <c r="G3" s="13"/>
      <c r="H3" s="13"/>
      <c r="I3" s="13"/>
      <c r="J3" s="13"/>
      <c r="K3" s="664" t="s">
        <v>82</v>
      </c>
      <c r="L3" s="664"/>
      <c r="M3" s="664"/>
      <c r="N3" s="664"/>
      <c r="O3" s="664"/>
      <c r="P3" s="664"/>
      <c r="Q3" s="664"/>
      <c r="R3" s="664"/>
      <c r="S3" s="664"/>
      <c r="T3" s="664"/>
      <c r="U3" s="664"/>
      <c r="V3" s="664"/>
      <c r="W3" s="664"/>
      <c r="X3" s="664"/>
      <c r="Y3" s="664"/>
      <c r="Z3" s="664"/>
      <c r="AA3" s="664"/>
      <c r="AB3" s="13"/>
      <c r="AC3" s="13"/>
      <c r="AD3" s="13"/>
      <c r="AE3" s="13"/>
      <c r="AF3" s="13"/>
      <c r="AG3" s="13"/>
      <c r="AH3" s="13"/>
    </row>
    <row r="4" spans="1:44" s="1" customFormat="1" ht="12.75" customHeight="1" x14ac:dyDescent="0.2">
      <c r="A4" s="10"/>
      <c r="C4" s="13"/>
      <c r="D4" s="13"/>
      <c r="E4" s="13"/>
      <c r="F4" s="13"/>
      <c r="G4" s="13"/>
      <c r="H4" s="13"/>
      <c r="I4" s="13"/>
      <c r="J4" s="13"/>
      <c r="K4" s="664"/>
      <c r="L4" s="664"/>
      <c r="M4" s="664"/>
      <c r="N4" s="664"/>
      <c r="O4" s="664"/>
      <c r="P4" s="664"/>
      <c r="Q4" s="664"/>
      <c r="R4" s="664"/>
      <c r="S4" s="664"/>
      <c r="T4" s="664"/>
      <c r="U4" s="664"/>
      <c r="V4" s="664"/>
      <c r="W4" s="664"/>
      <c r="X4" s="664"/>
      <c r="Y4" s="664"/>
      <c r="Z4" s="664"/>
      <c r="AA4" s="664"/>
      <c r="AB4" s="13"/>
      <c r="AC4" s="13"/>
      <c r="AD4" s="13"/>
      <c r="AE4" s="13"/>
      <c r="AF4" s="13"/>
      <c r="AG4" s="13"/>
      <c r="AH4" s="13"/>
    </row>
    <row r="5" spans="1:44" s="1" customFormat="1" ht="12.75" customHeight="1" x14ac:dyDescent="0.2">
      <c r="A5" s="10"/>
      <c r="C5" s="13"/>
      <c r="D5" s="13"/>
      <c r="E5" s="13"/>
      <c r="F5" s="13"/>
      <c r="G5" s="13"/>
      <c r="H5" s="13"/>
      <c r="I5" s="13"/>
      <c r="J5" s="13"/>
      <c r="K5" s="664"/>
      <c r="L5" s="664"/>
      <c r="M5" s="664"/>
      <c r="N5" s="664"/>
      <c r="O5" s="664"/>
      <c r="P5" s="664"/>
      <c r="Q5" s="664"/>
      <c r="R5" s="664"/>
      <c r="S5" s="664"/>
      <c r="T5" s="664"/>
      <c r="U5" s="664"/>
      <c r="V5" s="664"/>
      <c r="W5" s="664"/>
      <c r="X5" s="664"/>
      <c r="Y5" s="664"/>
      <c r="Z5" s="664"/>
      <c r="AA5" s="664"/>
      <c r="AB5" s="13"/>
      <c r="AC5" s="13"/>
      <c r="AD5" s="13"/>
      <c r="AE5" s="13"/>
      <c r="AF5" s="13"/>
      <c r="AG5" s="13"/>
      <c r="AH5" s="13"/>
    </row>
    <row r="6" spans="1:44" s="1" customFormat="1" ht="27.75" x14ac:dyDescent="0.4">
      <c r="A6" s="659" t="s">
        <v>199</v>
      </c>
      <c r="B6" s="659"/>
      <c r="C6" s="659"/>
      <c r="D6" s="659"/>
      <c r="E6" s="659"/>
      <c r="F6" s="659"/>
      <c r="G6" s="659"/>
      <c r="H6" s="659"/>
      <c r="I6" s="659"/>
      <c r="J6" s="659"/>
      <c r="K6" s="659"/>
      <c r="L6" s="659"/>
      <c r="M6" s="659"/>
      <c r="N6" s="659"/>
      <c r="O6" s="659"/>
      <c r="P6" s="659"/>
      <c r="Q6" s="659"/>
      <c r="R6" s="659"/>
      <c r="S6" s="659"/>
      <c r="T6" s="659"/>
      <c r="U6" s="659"/>
      <c r="V6" s="659"/>
      <c r="W6" s="659"/>
      <c r="X6" s="659"/>
      <c r="Y6" s="659"/>
      <c r="Z6" s="659"/>
      <c r="AA6" s="659"/>
      <c r="AB6" s="659"/>
      <c r="AC6" s="659"/>
      <c r="AD6" s="659"/>
      <c r="AE6" s="659"/>
      <c r="AF6" s="659"/>
      <c r="AG6" s="659"/>
      <c r="AH6" s="659"/>
    </row>
    <row r="7" spans="1:44" s="1" customFormat="1" ht="18.75" thickBot="1" x14ac:dyDescent="0.3">
      <c r="A7" s="733" t="s">
        <v>83</v>
      </c>
      <c r="B7" s="734"/>
      <c r="C7" s="734"/>
      <c r="D7" s="734"/>
      <c r="E7" s="734"/>
      <c r="F7" s="734"/>
      <c r="G7" s="734"/>
      <c r="H7" s="734"/>
      <c r="I7" s="734"/>
      <c r="J7" s="734"/>
      <c r="K7" s="734"/>
      <c r="L7" s="734"/>
      <c r="M7" s="734"/>
      <c r="N7" s="734"/>
      <c r="O7" s="734"/>
      <c r="P7" s="734"/>
      <c r="Q7" s="734"/>
      <c r="R7" s="734"/>
      <c r="S7" s="734"/>
      <c r="T7" s="734"/>
      <c r="U7" s="734"/>
      <c r="V7" s="734"/>
      <c r="W7" s="734"/>
      <c r="X7" s="734"/>
      <c r="Y7" s="734"/>
      <c r="Z7" s="734"/>
      <c r="AA7" s="734"/>
      <c r="AB7" s="734"/>
      <c r="AC7" s="734"/>
      <c r="AD7" s="734"/>
      <c r="AE7" s="734"/>
      <c r="AF7" s="734"/>
      <c r="AG7" s="734"/>
      <c r="AH7" s="734"/>
    </row>
    <row r="8" spans="1:44" s="1" customFormat="1" ht="21" thickBot="1" x14ac:dyDescent="0.35">
      <c r="A8" s="95" t="s">
        <v>136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5" t="s">
        <v>136</v>
      </c>
      <c r="AF8" s="96"/>
      <c r="AG8" s="96"/>
      <c r="AH8" s="96"/>
      <c r="AI8" s="13"/>
      <c r="AJ8" s="585">
        <v>0.23499999999999999</v>
      </c>
      <c r="AK8" s="13"/>
      <c r="AL8" s="16"/>
      <c r="AM8" s="17"/>
      <c r="AN8" s="17"/>
    </row>
    <row r="9" spans="1:44" s="2" customFormat="1" ht="12.75" customHeight="1" thickBot="1" x14ac:dyDescent="0.25">
      <c r="A9" s="687" t="s">
        <v>1</v>
      </c>
      <c r="B9" s="687" t="s">
        <v>0</v>
      </c>
      <c r="C9" s="629" t="s">
        <v>77</v>
      </c>
      <c r="D9" s="629" t="s">
        <v>119</v>
      </c>
      <c r="E9" s="629" t="s">
        <v>127</v>
      </c>
      <c r="F9" s="629" t="s">
        <v>113</v>
      </c>
      <c r="G9" s="629" t="s">
        <v>102</v>
      </c>
      <c r="H9" s="629" t="s">
        <v>79</v>
      </c>
      <c r="I9" s="629" t="s">
        <v>148</v>
      </c>
      <c r="J9" s="627" t="s">
        <v>147</v>
      </c>
      <c r="K9" s="647" t="s">
        <v>121</v>
      </c>
      <c r="L9" s="647" t="s">
        <v>146</v>
      </c>
      <c r="M9" s="647" t="s">
        <v>147</v>
      </c>
      <c r="N9" s="645" t="s">
        <v>85</v>
      </c>
      <c r="O9" s="645" t="s">
        <v>120</v>
      </c>
      <c r="P9" s="647" t="s">
        <v>86</v>
      </c>
      <c r="Q9" s="645" t="s">
        <v>101</v>
      </c>
      <c r="R9" s="645" t="s">
        <v>84</v>
      </c>
      <c r="S9" s="629" t="s">
        <v>192</v>
      </c>
      <c r="T9" s="645" t="s">
        <v>69</v>
      </c>
      <c r="U9" s="682" t="s">
        <v>59</v>
      </c>
      <c r="V9" s="683"/>
      <c r="W9" s="683"/>
      <c r="X9" s="683"/>
      <c r="Y9" s="683"/>
      <c r="Z9" s="673" t="s">
        <v>68</v>
      </c>
      <c r="AA9" s="629" t="s">
        <v>89</v>
      </c>
      <c r="AB9" s="629" t="s">
        <v>88</v>
      </c>
      <c r="AC9" s="629" t="s">
        <v>87</v>
      </c>
      <c r="AD9" s="629" t="s">
        <v>91</v>
      </c>
      <c r="AE9" s="629" t="s">
        <v>90</v>
      </c>
      <c r="AF9" s="629" t="s">
        <v>196</v>
      </c>
      <c r="AG9" s="673" t="s">
        <v>175</v>
      </c>
      <c r="AH9" s="629" t="s">
        <v>92</v>
      </c>
      <c r="AI9" s="629" t="s">
        <v>192</v>
      </c>
      <c r="AJ9" s="631" t="s">
        <v>68</v>
      </c>
      <c r="AK9" s="629" t="s">
        <v>194</v>
      </c>
      <c r="AL9" s="629" t="s">
        <v>195</v>
      </c>
      <c r="AM9" s="17"/>
      <c r="AN9" s="17"/>
    </row>
    <row r="10" spans="1:44" s="2" customFormat="1" ht="89.25" customHeight="1" thickBot="1" x14ac:dyDescent="0.25">
      <c r="A10" s="688"/>
      <c r="B10" s="688"/>
      <c r="C10" s="630"/>
      <c r="D10" s="630"/>
      <c r="E10" s="630"/>
      <c r="F10" s="630"/>
      <c r="G10" s="630"/>
      <c r="H10" s="630"/>
      <c r="I10" s="630"/>
      <c r="J10" s="628"/>
      <c r="K10" s="648"/>
      <c r="L10" s="648"/>
      <c r="M10" s="648"/>
      <c r="N10" s="646"/>
      <c r="O10" s="646"/>
      <c r="P10" s="648"/>
      <c r="Q10" s="646"/>
      <c r="R10" s="646"/>
      <c r="S10" s="630"/>
      <c r="T10" s="646"/>
      <c r="U10" s="78" t="s">
        <v>141</v>
      </c>
      <c r="V10" s="105" t="s">
        <v>61</v>
      </c>
      <c r="W10" s="105" t="s">
        <v>62</v>
      </c>
      <c r="X10" s="105" t="s">
        <v>63</v>
      </c>
      <c r="Y10" s="105" t="s">
        <v>64</v>
      </c>
      <c r="Z10" s="681"/>
      <c r="AA10" s="630"/>
      <c r="AB10" s="630"/>
      <c r="AC10" s="630"/>
      <c r="AD10" s="630"/>
      <c r="AE10" s="630"/>
      <c r="AF10" s="630"/>
      <c r="AG10" s="630"/>
      <c r="AH10" s="630"/>
      <c r="AI10" s="630"/>
      <c r="AJ10" s="632"/>
      <c r="AK10" s="630"/>
      <c r="AL10" s="630"/>
      <c r="AM10" s="17"/>
      <c r="AN10" s="17"/>
    </row>
    <row r="11" spans="1:44" s="1" customFormat="1" ht="21.75" customHeight="1" x14ac:dyDescent="0.2">
      <c r="A11" s="368">
        <v>3509</v>
      </c>
      <c r="B11" s="411" t="s">
        <v>23</v>
      </c>
      <c r="C11" s="340">
        <v>0</v>
      </c>
      <c r="D11" s="340"/>
      <c r="E11" s="340"/>
      <c r="F11" s="340"/>
      <c r="G11" s="412">
        <v>3422</v>
      </c>
      <c r="H11" s="340">
        <f t="shared" ref="H11:H24" si="0">SUM(G11:G11)</f>
        <v>3422</v>
      </c>
      <c r="I11" s="340"/>
      <c r="J11" s="340"/>
      <c r="K11" s="345">
        <f>H11*'DATOS REFERENCIALES'!$C$4</f>
        <v>21989.772000000001</v>
      </c>
      <c r="L11" s="345"/>
      <c r="M11" s="345"/>
      <c r="N11" s="347">
        <f>LOOKUP(C11,'TABLA ANTIG.'!$A$4:$A$39,'TABLA ANTIG.'!$B$4:$B$39)*(K11)</f>
        <v>0</v>
      </c>
      <c r="O11" s="350">
        <f t="shared" ref="O11:O24" si="1">K11*0.1</f>
        <v>2198.9772000000003</v>
      </c>
      <c r="P11" s="345">
        <f>'DATOS REFERENCIALES'!$C$8</f>
        <v>4275</v>
      </c>
      <c r="Q11" s="351">
        <f>LOOKUP(C11,'TABLA ANTIG.'!$A$4:$A$39,'TABLA ANTIG.'!$B$4:$B$39)*(P11)</f>
        <v>0</v>
      </c>
      <c r="R11" s="347">
        <v>0</v>
      </c>
      <c r="S11" s="347">
        <f>'DATOS REFERENCIALES'!$C$14</f>
        <v>0</v>
      </c>
      <c r="T11" s="347">
        <f>K11+N11+O11+P11+Q11+R11+S11</f>
        <v>28463.749200000002</v>
      </c>
      <c r="U11" s="347">
        <f t="shared" ref="U11:U24" si="2">$T11*11%</f>
        <v>3131.012412</v>
      </c>
      <c r="V11" s="347">
        <f t="shared" ref="V11:W24" si="3">$T11*3%</f>
        <v>853.91247600000008</v>
      </c>
      <c r="W11" s="347">
        <f t="shared" si="3"/>
        <v>853.91247600000008</v>
      </c>
      <c r="X11" s="347">
        <f t="shared" ref="X11:X24" si="4">$T11*2%</f>
        <v>569.27498400000002</v>
      </c>
      <c r="Y11" s="347">
        <f t="shared" ref="Y11:Y24" si="5">$T11*4.5%</f>
        <v>1280.868714</v>
      </c>
      <c r="Z11" s="347">
        <f t="shared" ref="Z11:Z24" si="6">SUM(U11:Y11)</f>
        <v>6688.9810619999998</v>
      </c>
      <c r="AA11" s="347">
        <f t="shared" ref="AA11:AA24" si="7">T11-Z11</f>
        <v>21774.768138000003</v>
      </c>
      <c r="AB11" s="350">
        <f>'DATOS REFERENCIALES'!$C$10</f>
        <v>1520</v>
      </c>
      <c r="AC11" s="427">
        <f>IF((IF(H11&gt;1119,('DATOS REFERENCIALES'!$C$9-(T11-U11-V11-W11-X11-Y11+AB11-L11-L11*0.235-(S11-S11*0.235))),(('DATOS REFERENCIALES'!$C$9/1120)*H11)-(K11+N11+O11+P11+Q11+R11-U11-V11-W11-X11-Y11+AB11-(L11-L11*0.235)-(S11*0.235))))&lt;0,0,IF(H11&gt;1119,(('DATOS REFERENCIALES'!$C$9)-(T11-U11-V11-W11-X11-Y11+AB11-(L11-L11*0.235)-(S11-S11*0.235))),(('DATOS REFERENCIALES'!$C$9/1120)*H11)-(K11+N11+O11+P11+Q11+R11-U11-V11-W11-X11-Y11+AB11-(L11-L11*0.235)-(S11*0.235))))</f>
        <v>0</v>
      </c>
      <c r="AD11" s="351">
        <f t="shared" ref="AD11:AD24" si="8">SUM(AA11:AC11)</f>
        <v>23294.768138000003</v>
      </c>
      <c r="AE11" s="352">
        <f>'DATOS REFERENCIALES'!$C$13</f>
        <v>1210</v>
      </c>
      <c r="AF11" s="374">
        <f>IF($H11&gt;1119,'DATOS REFERENCIALES'!C17,'DATOS REFERENCIALES'!C17/1120*$H11)</f>
        <v>1500</v>
      </c>
      <c r="AG11" s="347">
        <f>'DATOS REFERENCIALES'!$C$12</f>
        <v>210</v>
      </c>
      <c r="AH11" s="633">
        <f>SUM(AD11:AG11)+SUM(AD12:AG12)</f>
        <v>30378.256594050003</v>
      </c>
      <c r="AI11" s="710">
        <f>'DATOS REFERENCIALES'!$C$16</f>
        <v>772</v>
      </c>
      <c r="AJ11" s="710">
        <f>AI11*$AJ$8</f>
        <v>181.42</v>
      </c>
      <c r="AK11" s="710">
        <f>AI11-AJ11</f>
        <v>590.58000000000004</v>
      </c>
      <c r="AL11" s="708">
        <f>AH11+AK11</f>
        <v>30968.836594050004</v>
      </c>
      <c r="AM11" s="17"/>
      <c r="AN11" s="17"/>
      <c r="AR11" s="8"/>
    </row>
    <row r="12" spans="1:44" s="1" customFormat="1" ht="26.25" customHeight="1" thickBot="1" x14ac:dyDescent="0.25">
      <c r="A12" s="519">
        <v>3509</v>
      </c>
      <c r="B12" s="520" t="s">
        <v>23</v>
      </c>
      <c r="C12" s="512">
        <f>IF(C11&gt;0,C11,0)</f>
        <v>0</v>
      </c>
      <c r="D12" s="512"/>
      <c r="E12" s="512"/>
      <c r="F12" s="512"/>
      <c r="G12" s="511"/>
      <c r="H12" s="512"/>
      <c r="I12" s="355">
        <v>256.64999999999998</v>
      </c>
      <c r="J12" s="435">
        <v>0.15</v>
      </c>
      <c r="K12" s="360"/>
      <c r="L12" s="360">
        <f>I12*'DATOS REFERENCIALES'!$C$4</f>
        <v>1649.2329</v>
      </c>
      <c r="M12" s="360">
        <f>K11*J12</f>
        <v>3298.4657999999999</v>
      </c>
      <c r="N12" s="362">
        <f>LOOKUP(C12,'TABLA ANTIG.'!$A$4:$A$39,'TABLA ANTIG.'!$B$4:$B$39)*(L12+M12)</f>
        <v>0</v>
      </c>
      <c r="O12" s="362">
        <f>(L12+M12)*0.1</f>
        <v>494.76987000000003</v>
      </c>
      <c r="P12" s="360"/>
      <c r="Q12" s="362"/>
      <c r="R12" s="361"/>
      <c r="S12" s="361"/>
      <c r="T12" s="362">
        <f>L12+M12+N12+O12+P12+Q12+R12</f>
        <v>5442.46857</v>
      </c>
      <c r="U12" s="365">
        <f t="shared" si="2"/>
        <v>598.67154270000003</v>
      </c>
      <c r="V12" s="362">
        <f t="shared" si="3"/>
        <v>163.27405709999999</v>
      </c>
      <c r="W12" s="365">
        <f t="shared" si="3"/>
        <v>163.27405709999999</v>
      </c>
      <c r="X12" s="362">
        <f>$T12*2%</f>
        <v>108.8493714</v>
      </c>
      <c r="Y12" s="362">
        <f t="shared" si="5"/>
        <v>244.91108564999999</v>
      </c>
      <c r="Z12" s="362">
        <f t="shared" si="6"/>
        <v>1278.9801139499998</v>
      </c>
      <c r="AA12" s="366">
        <f t="shared" si="7"/>
        <v>4163.4884560500004</v>
      </c>
      <c r="AB12" s="362"/>
      <c r="AC12" s="362"/>
      <c r="AD12" s="361">
        <f t="shared" si="8"/>
        <v>4163.4884560500004</v>
      </c>
      <c r="AE12" s="367"/>
      <c r="AF12" s="380"/>
      <c r="AG12" s="362"/>
      <c r="AH12" s="634"/>
      <c r="AI12" s="711"/>
      <c r="AJ12" s="711"/>
      <c r="AK12" s="711"/>
      <c r="AL12" s="709"/>
      <c r="AM12" s="17"/>
      <c r="AN12" s="17"/>
      <c r="AR12" s="8"/>
    </row>
    <row r="13" spans="1:44" s="1" customFormat="1" ht="21.75" customHeight="1" x14ac:dyDescent="0.2">
      <c r="A13" s="399">
        <v>3510</v>
      </c>
      <c r="B13" s="278" t="s">
        <v>38</v>
      </c>
      <c r="C13" s="279">
        <v>0</v>
      </c>
      <c r="D13" s="279"/>
      <c r="E13" s="279"/>
      <c r="F13" s="279"/>
      <c r="G13" s="280">
        <v>2874</v>
      </c>
      <c r="H13" s="279">
        <f t="shared" si="0"/>
        <v>2874</v>
      </c>
      <c r="I13" s="279"/>
      <c r="J13" s="279"/>
      <c r="K13" s="281">
        <f>H13*'DATOS REFERENCIALES'!$C$4</f>
        <v>18468.324000000001</v>
      </c>
      <c r="L13" s="281"/>
      <c r="M13" s="281"/>
      <c r="N13" s="283">
        <f>LOOKUP(C13,'TABLA ANTIG.'!$A$4:$A$39,'TABLA ANTIG.'!$B$4:$B$39)*(K13)</f>
        <v>0</v>
      </c>
      <c r="O13" s="286">
        <f t="shared" si="1"/>
        <v>1846.8324000000002</v>
      </c>
      <c r="P13" s="281">
        <f>'DATOS REFERENCIALES'!$C$8</f>
        <v>4275</v>
      </c>
      <c r="Q13" s="285">
        <f>LOOKUP(C13,'TABLA ANTIG.'!$A$4:$A$39,'TABLA ANTIG.'!$B$4:$B$39)*(P13)</f>
        <v>0</v>
      </c>
      <c r="R13" s="283">
        <v>0</v>
      </c>
      <c r="S13" s="283">
        <f>'DATOS REFERENCIALES'!$C$14</f>
        <v>0</v>
      </c>
      <c r="T13" s="283">
        <f>K13+N13+O13+P13+Q13+R13+S13</f>
        <v>24590.1564</v>
      </c>
      <c r="U13" s="283">
        <f t="shared" si="2"/>
        <v>2704.9172039999999</v>
      </c>
      <c r="V13" s="283">
        <f t="shared" si="3"/>
        <v>737.70469200000002</v>
      </c>
      <c r="W13" s="283">
        <f t="shared" si="3"/>
        <v>737.70469200000002</v>
      </c>
      <c r="X13" s="283">
        <f t="shared" si="4"/>
        <v>491.80312800000002</v>
      </c>
      <c r="Y13" s="283">
        <f t="shared" si="5"/>
        <v>1106.5570379999999</v>
      </c>
      <c r="Z13" s="283">
        <f t="shared" si="6"/>
        <v>5778.6867539999994</v>
      </c>
      <c r="AA13" s="283">
        <f t="shared" si="7"/>
        <v>18811.469646000001</v>
      </c>
      <c r="AB13" s="286">
        <f>'DATOS REFERENCIALES'!$C$10</f>
        <v>1520</v>
      </c>
      <c r="AC13" s="283">
        <f>IF((IF(H13&gt;1119,('DATOS REFERENCIALES'!$C$9-(T13-U13-V13-W13-X13-Y13+AB13)),(('DATOS REFERENCIALES'!$C$9/1120)*H13)-(K13+N13+O13+P13+Q13+R13-U13-V13-W13-X13-Y13+AB13)))&lt;0,0,IF(H13&gt;1119,(('DATOS REFERENCIALES'!$C$9)-(T13-U13-V13-W13-X13-Y13+AB13)),(('DATOS REFERENCIALES'!$C$9/1120)*H13)-(K13+N13+O13+P13+Q13+R13-U13-V13-W13-X13-Y13+AB13)))</f>
        <v>0</v>
      </c>
      <c r="AD13" s="285">
        <f t="shared" si="8"/>
        <v>20331.469646000001</v>
      </c>
      <c r="AE13" s="288">
        <f>'DATOS REFERENCIALES'!$C$13</f>
        <v>1210</v>
      </c>
      <c r="AF13" s="404">
        <f>IF($H13&gt;1119,'DATOS REFERENCIALES'!C17,'DATOS REFERENCIALES'!C17/1120*$H13)</f>
        <v>1500</v>
      </c>
      <c r="AG13" s="283">
        <f>'DATOS REFERENCIALES'!$C$12</f>
        <v>210</v>
      </c>
      <c r="AH13" s="639">
        <f>SUM(AD13:AG13)+SUM(AD14:AG14)</f>
        <v>24417.05174445</v>
      </c>
      <c r="AI13" s="712">
        <f>'DATOS REFERENCIALES'!$C$16</f>
        <v>772</v>
      </c>
      <c r="AJ13" s="712">
        <f>AI13*$AJ$8</f>
        <v>181.42</v>
      </c>
      <c r="AK13" s="712">
        <f>AI13-AJ13</f>
        <v>590.58000000000004</v>
      </c>
      <c r="AL13" s="714">
        <f>AH13+AK13</f>
        <v>25007.631744450002</v>
      </c>
      <c r="AM13" s="17"/>
      <c r="AN13" s="17"/>
      <c r="AR13" s="8"/>
    </row>
    <row r="14" spans="1:44" s="1" customFormat="1" ht="21.75" customHeight="1" thickBot="1" x14ac:dyDescent="0.25">
      <c r="A14" s="405">
        <v>3510</v>
      </c>
      <c r="B14" s="422" t="s">
        <v>38</v>
      </c>
      <c r="C14" s="291">
        <f>IF(C13&gt;0,C13,0)</f>
        <v>0</v>
      </c>
      <c r="D14" s="331"/>
      <c r="E14" s="331"/>
      <c r="F14" s="331"/>
      <c r="G14" s="423"/>
      <c r="H14" s="331"/>
      <c r="I14" s="331">
        <v>215.55</v>
      </c>
      <c r="J14" s="518"/>
      <c r="K14" s="335"/>
      <c r="L14" s="335">
        <f>I14*'DATOS REFERENCIALES'!$C$4</f>
        <v>1385.1243000000002</v>
      </c>
      <c r="M14" s="335">
        <f>IF(J14='DATOS REFERENCIALES'!$C$30,K13*'DATOS REFERENCIALES'!$D$30,IF(J14='DATOS REFERENCIALES'!$C$31,('DATOS REFERENCIALES'!$D$31*K13),IF(J14='DATOS REFERENCIALES'!$C$32,('DATOS REFERENCIALES'!$D$32*K13),IF(J14='DATOS REFERENCIALES'!$C$33,('DATOS REFERENCIALES'!$D$33*K13),IF(J14='DATOS REFERENCIALES'!$C$34,('DATOS REFERENCIALES'!$D$34*K13),IF(J14='DATOS REFERENCIALES'!$C$35,('DATOS REFERENCIALES'!$D$35*K13),IF(J14='DATOS REFERENCIALES'!$C$36,('DATOS REFERENCIALES'!$D$36*K13),IF(J14='DATOS REFERENCIALES'!$C$37,('DATOS REFERENCIALES'!$D$37*K13),0))))))))</f>
        <v>0</v>
      </c>
      <c r="N14" s="302">
        <f>LOOKUP(C14,'TABLA ANTIG.'!$A$4:$A$39,'TABLA ANTIG.'!$B$4:$B$39)*(L14+M14)</f>
        <v>0</v>
      </c>
      <c r="O14" s="302">
        <f>(L14+M14)*0.1</f>
        <v>138.51243000000002</v>
      </c>
      <c r="P14" s="335"/>
      <c r="Q14" s="302"/>
      <c r="R14" s="300"/>
      <c r="S14" s="300"/>
      <c r="T14" s="302">
        <f>L14+M14+N14+O14+P14+Q14+R14</f>
        <v>1523.6367300000002</v>
      </c>
      <c r="U14" s="336">
        <f t="shared" si="2"/>
        <v>167.60004030000002</v>
      </c>
      <c r="V14" s="302">
        <f t="shared" si="3"/>
        <v>45.7091019</v>
      </c>
      <c r="W14" s="336">
        <f t="shared" si="3"/>
        <v>45.7091019</v>
      </c>
      <c r="X14" s="302">
        <f>$T14*2%</f>
        <v>30.472734600000003</v>
      </c>
      <c r="Y14" s="302">
        <f t="shared" si="5"/>
        <v>68.563652850000011</v>
      </c>
      <c r="Z14" s="302">
        <f t="shared" si="6"/>
        <v>358.05463155000007</v>
      </c>
      <c r="AA14" s="337">
        <f t="shared" si="7"/>
        <v>1165.5820984500001</v>
      </c>
      <c r="AB14" s="302"/>
      <c r="AC14" s="297"/>
      <c r="AD14" s="300">
        <f t="shared" si="8"/>
        <v>1165.5820984500001</v>
      </c>
      <c r="AE14" s="531"/>
      <c r="AF14" s="410"/>
      <c r="AG14" s="302"/>
      <c r="AH14" s="640"/>
      <c r="AI14" s="713"/>
      <c r="AJ14" s="713"/>
      <c r="AK14" s="713"/>
      <c r="AL14" s="732"/>
      <c r="AM14" s="17"/>
      <c r="AN14" s="17"/>
      <c r="AR14" s="8"/>
    </row>
    <row r="15" spans="1:44" s="1" customFormat="1" ht="21.75" customHeight="1" x14ac:dyDescent="0.2">
      <c r="A15" s="161">
        <v>3525</v>
      </c>
      <c r="B15" s="162" t="s">
        <v>25</v>
      </c>
      <c r="C15" s="163">
        <v>0</v>
      </c>
      <c r="D15" s="163"/>
      <c r="E15" s="163"/>
      <c r="F15" s="163"/>
      <c r="G15" s="164">
        <v>2204</v>
      </c>
      <c r="H15" s="120">
        <v>2500</v>
      </c>
      <c r="I15" s="120"/>
      <c r="J15" s="120"/>
      <c r="K15" s="106">
        <f>H15*'DATOS REFERENCIALES'!$C$4</f>
        <v>16065</v>
      </c>
      <c r="L15" s="106"/>
      <c r="M15" s="106"/>
      <c r="N15" s="107">
        <f>LOOKUP(C15,'TABLA ANTIG.'!$A$4:$A$39,'TABLA ANTIG.'!$B$4:$B$39)*(K15)</f>
        <v>0</v>
      </c>
      <c r="O15" s="146">
        <f t="shared" si="1"/>
        <v>1606.5</v>
      </c>
      <c r="P15" s="106">
        <f>'DATOS REFERENCIALES'!$C$8</f>
        <v>4275</v>
      </c>
      <c r="Q15" s="147">
        <f>LOOKUP(C15,'TABLA ANTIG.'!$A$4:$A$39,'TABLA ANTIG.'!$B$4:$B$39)*(P15)</f>
        <v>0</v>
      </c>
      <c r="R15" s="146">
        <v>0</v>
      </c>
      <c r="S15" s="197">
        <f>'DATOS REFERENCIALES'!$C$14</f>
        <v>0</v>
      </c>
      <c r="T15" s="160">
        <f t="shared" ref="T15:T24" si="9">K15+N15+O15+P15+Q15+R15+S15</f>
        <v>21946.5</v>
      </c>
      <c r="U15" s="114">
        <f t="shared" si="2"/>
        <v>2414.1150000000002</v>
      </c>
      <c r="V15" s="114">
        <f t="shared" si="3"/>
        <v>658.39499999999998</v>
      </c>
      <c r="W15" s="114">
        <f t="shared" si="3"/>
        <v>658.39499999999998</v>
      </c>
      <c r="X15" s="114">
        <f t="shared" si="4"/>
        <v>438.93</v>
      </c>
      <c r="Y15" s="114">
        <f t="shared" si="5"/>
        <v>987.59249999999997</v>
      </c>
      <c r="Z15" s="114">
        <f t="shared" si="6"/>
        <v>5157.4274999999998</v>
      </c>
      <c r="AA15" s="107">
        <f t="shared" si="7"/>
        <v>16789.072500000002</v>
      </c>
      <c r="AB15" s="150">
        <f>'DATOS REFERENCIALES'!$C$10</f>
        <v>1520</v>
      </c>
      <c r="AC15" s="79">
        <f>IF((IF(H15&gt;1119,('DATOS REFERENCIALES'!$C$9-(T15-U15-V15-W15-X15-Y15+AB15-L15-L15*0.235-(S15-S15*0.235))),(('DATOS REFERENCIALES'!$C$9/1120)*H15)-(K15+N15+O15+P15+Q15+R15-U15-V15-W15-X15-Y15+AB15-(L15-L15*0.235)-(S15*0.235))))&lt;0,0,IF(H15&gt;1119,(('DATOS REFERENCIALES'!$C$9)-(T15-U15-V15-W15-X15-Y15+AB15-(L15-L15*0.235)-(S15-S15*0.235))),(('DATOS REFERENCIALES'!$C$9/1120)*H15)-(K15+N15+O15+P15+Q15+R15-U15-V15-W15-X15-Y15+AB15-(L15-L15*0.235)-(S15*0.235))))</f>
        <v>0</v>
      </c>
      <c r="AD15" s="147">
        <f t="shared" si="8"/>
        <v>18309.072500000002</v>
      </c>
      <c r="AE15" s="532">
        <f>'DATOS REFERENCIALES'!$C$13</f>
        <v>1210</v>
      </c>
      <c r="AF15" s="612">
        <f>IF($H15&gt;1119,'DATOS REFERENCIALES'!C17,'DATOS REFERENCIALES'!C17/1120*$H15)</f>
        <v>1500</v>
      </c>
      <c r="AG15" s="107">
        <f>'DATOS REFERENCIALES'!$C$12</f>
        <v>210</v>
      </c>
      <c r="AH15" s="150">
        <f t="shared" ref="AH15:AH24" si="10">SUM(AD15:AG15)</f>
        <v>21229.072500000002</v>
      </c>
      <c r="AI15" s="596">
        <f>'DATOS REFERENCIALES'!$C$16</f>
        <v>772</v>
      </c>
      <c r="AJ15" s="596">
        <f t="shared" ref="AJ15:AJ24" si="11">AI15*$AJ$8</f>
        <v>181.42</v>
      </c>
      <c r="AK15" s="596">
        <f t="shared" ref="AK15:AK24" si="12">AI15-AJ15</f>
        <v>590.58000000000004</v>
      </c>
      <c r="AL15" s="596">
        <f t="shared" ref="AL15:AL24" si="13">AH15+AK15</f>
        <v>21819.652500000004</v>
      </c>
      <c r="AM15" s="17"/>
      <c r="AN15" s="17"/>
      <c r="AR15" s="8"/>
    </row>
    <row r="16" spans="1:44" s="1" customFormat="1" ht="21.75" customHeight="1" x14ac:dyDescent="0.2">
      <c r="A16" s="75">
        <v>3535</v>
      </c>
      <c r="B16" s="86" t="s">
        <v>39</v>
      </c>
      <c r="C16" s="23">
        <v>0</v>
      </c>
      <c r="D16" s="23"/>
      <c r="E16" s="23"/>
      <c r="F16" s="23"/>
      <c r="G16" s="52">
        <v>984</v>
      </c>
      <c r="H16" s="35">
        <f t="shared" si="0"/>
        <v>984</v>
      </c>
      <c r="I16" s="35"/>
      <c r="J16" s="35"/>
      <c r="K16" s="90">
        <f>H16*'DATOS REFERENCIALES'!$C$4</f>
        <v>6323.1840000000002</v>
      </c>
      <c r="L16" s="90"/>
      <c r="M16" s="90"/>
      <c r="N16" s="80">
        <f>LOOKUP(C16,'TABLA ANTIG.'!$A$4:$A$39,'TABLA ANTIG.'!$B$4:$B$39)*(K16)</f>
        <v>0</v>
      </c>
      <c r="O16" s="99">
        <f t="shared" si="1"/>
        <v>632.31840000000011</v>
      </c>
      <c r="P16" s="90">
        <f>'DATOS REFERENCIALES'!$C$8</f>
        <v>4275</v>
      </c>
      <c r="Q16" s="131">
        <f>LOOKUP(C16,'TABLA ANTIG.'!$A$4:$A$39,'TABLA ANTIG.'!$B$4:$B$39)*(P16)</f>
        <v>0</v>
      </c>
      <c r="R16" s="99">
        <v>0</v>
      </c>
      <c r="S16" s="80">
        <f>'DATOS REFERENCIALES'!$C$14</f>
        <v>0</v>
      </c>
      <c r="T16" s="160">
        <f t="shared" si="9"/>
        <v>11230.502400000001</v>
      </c>
      <c r="U16" s="27">
        <f t="shared" si="2"/>
        <v>1235.355264</v>
      </c>
      <c r="V16" s="27">
        <f t="shared" si="3"/>
        <v>336.91507200000001</v>
      </c>
      <c r="W16" s="27">
        <f t="shared" si="3"/>
        <v>336.91507200000001</v>
      </c>
      <c r="X16" s="27">
        <f t="shared" si="4"/>
        <v>224.61004800000003</v>
      </c>
      <c r="Y16" s="27">
        <f t="shared" si="5"/>
        <v>505.37260800000001</v>
      </c>
      <c r="Z16" s="27">
        <f t="shared" si="6"/>
        <v>2639.1680640000004</v>
      </c>
      <c r="AA16" s="80">
        <f t="shared" si="7"/>
        <v>8591.3343359999999</v>
      </c>
      <c r="AB16" s="148">
        <f>'DATOS REFERENCIALES'!$C$10</f>
        <v>1520</v>
      </c>
      <c r="AC16" s="80">
        <f>IF((IF(H16&gt;1119,('DATOS REFERENCIALES'!$C$9-(T16-U16-V16-W16-X16-Y16+AB16-L16-L16*0.235-(S16-S16*0.235))),(('DATOS REFERENCIALES'!$C$9/1120)*H16)-(K16+N16+O16+P16+Q16+R16-U16-V16-W16-X16-Y16+AB16-(L16-L16*0.235)-(S16*0.235))))&lt;0,0,IF(H16&gt;1119,(('DATOS REFERENCIALES'!$C$9)-(T16-(U16+V16+W16+X16+Y16)+AB16-(L16-L16*0.235)+(S16-S16*0.235))),(('DATOS REFERENCIALES'!$C$9/1120)*H16)-((K16+N16+O16+P16+Q16+R16)-(U16+V16+W16+X16+Y16)+AB16-(L16-L16*0.235)+(S16*0.235))))</f>
        <v>4956.1656640000001</v>
      </c>
      <c r="AD16" s="131">
        <f t="shared" si="8"/>
        <v>15067.5</v>
      </c>
      <c r="AE16" s="92">
        <f>'DATOS REFERENCIALES'!$C$13</f>
        <v>1210</v>
      </c>
      <c r="AF16" s="92">
        <f>IF($H16&gt;1119,'DATOS REFERENCIALES'!C17,'DATOS REFERENCIALES'!C17/1120*$H16)</f>
        <v>1317.8571428571427</v>
      </c>
      <c r="AG16" s="80">
        <f>'DATOS REFERENCIALES'!$C$12</f>
        <v>210</v>
      </c>
      <c r="AH16" s="148">
        <f t="shared" si="10"/>
        <v>17805.357142857141</v>
      </c>
      <c r="AI16" s="598">
        <f>'DATOS REFERENCIALES'!$C$16</f>
        <v>772</v>
      </c>
      <c r="AJ16" s="598">
        <f t="shared" si="11"/>
        <v>181.42</v>
      </c>
      <c r="AK16" s="598">
        <f t="shared" si="12"/>
        <v>590.58000000000004</v>
      </c>
      <c r="AL16" s="598">
        <f t="shared" si="13"/>
        <v>18395.937142857143</v>
      </c>
      <c r="AM16" s="17"/>
      <c r="AN16" s="17"/>
      <c r="AR16" s="8"/>
    </row>
    <row r="17" spans="1:44" s="1" customFormat="1" ht="21.75" customHeight="1" x14ac:dyDescent="0.2">
      <c r="A17" s="75">
        <v>3536</v>
      </c>
      <c r="B17" s="86" t="s">
        <v>40</v>
      </c>
      <c r="C17" s="23">
        <v>0</v>
      </c>
      <c r="D17" s="23"/>
      <c r="E17" s="23"/>
      <c r="F17" s="23"/>
      <c r="G17" s="52">
        <v>810</v>
      </c>
      <c r="H17" s="35">
        <v>825</v>
      </c>
      <c r="I17" s="35"/>
      <c r="J17" s="35"/>
      <c r="K17" s="90">
        <f>H17*'DATOS REFERENCIALES'!$C$4</f>
        <v>5301.45</v>
      </c>
      <c r="L17" s="90"/>
      <c r="M17" s="90"/>
      <c r="N17" s="80">
        <f>LOOKUP(C17,'TABLA ANTIG.'!$A$4:$A$39,'TABLA ANTIG.'!$B$4:$B$39)*(K17)</f>
        <v>0</v>
      </c>
      <c r="O17" s="99">
        <f t="shared" si="1"/>
        <v>530.14499999999998</v>
      </c>
      <c r="P17" s="90">
        <f>'DATOS REFERENCIALES'!$C$8</f>
        <v>4275</v>
      </c>
      <c r="Q17" s="131">
        <f>LOOKUP(C17,'TABLA ANTIG.'!$A$4:$A$39,'TABLA ANTIG.'!$B$4:$B$39)*(P17)</f>
        <v>0</v>
      </c>
      <c r="R17" s="99">
        <v>0</v>
      </c>
      <c r="S17" s="155">
        <f>'DATOS REFERENCIALES'!$C$14</f>
        <v>0</v>
      </c>
      <c r="T17" s="160">
        <f t="shared" si="9"/>
        <v>10106.594999999999</v>
      </c>
      <c r="U17" s="27">
        <f t="shared" si="2"/>
        <v>1111.7254499999999</v>
      </c>
      <c r="V17" s="27">
        <f t="shared" si="3"/>
        <v>303.19784999999996</v>
      </c>
      <c r="W17" s="27">
        <f t="shared" si="3"/>
        <v>303.19784999999996</v>
      </c>
      <c r="X17" s="27">
        <f t="shared" si="4"/>
        <v>202.1319</v>
      </c>
      <c r="Y17" s="27">
        <f t="shared" si="5"/>
        <v>454.79677499999997</v>
      </c>
      <c r="Z17" s="27">
        <f t="shared" si="6"/>
        <v>2375.0498250000001</v>
      </c>
      <c r="AA17" s="80">
        <f t="shared" si="7"/>
        <v>7731.5451749999993</v>
      </c>
      <c r="AB17" s="148">
        <f>'DATOS REFERENCIALES'!$C$10</f>
        <v>1520</v>
      </c>
      <c r="AC17" s="80">
        <f>IF((IF(H17&gt;1119,('DATOS REFERENCIALES'!$C$9-(T17-U17-V17-W17-X17-Y17+AB17-L17-L17*0.235-(S17-S17*0.235))),(('DATOS REFERENCIALES'!$C$9/1120)*H17)-(K17+N17+O17+P17+Q17+R17-U17-V17-W17-X17-Y17+AB17-(L17-L17*0.235)-(S17*0.235))))&lt;0,0,IF(H17&gt;1119,(('DATOS REFERENCIALES'!$C$9)-(T17-(U17+V17+W17+X17+Y17)+AB17-(L17-L17*0.235)+(S17-S17*0.235))),(('DATOS REFERENCIALES'!$C$9/1120)*H17)-((K17+N17+O17+P17+Q17+R17)-(U17+V17+W17+X17+Y17)+AB17-(L17-L17*0.235)+(S17*0.235))))</f>
        <v>3381.2673250000007</v>
      </c>
      <c r="AD17" s="131">
        <f t="shared" si="8"/>
        <v>12632.8125</v>
      </c>
      <c r="AE17" s="92">
        <f>'DATOS REFERENCIALES'!$C$13</f>
        <v>1210</v>
      </c>
      <c r="AF17" s="92">
        <f>IF($H17&gt;1119,'DATOS REFERENCIALES'!C17,'DATOS REFERENCIALES'!C17/1120*$H17)</f>
        <v>1104.9107142857142</v>
      </c>
      <c r="AG17" s="80">
        <f>'DATOS REFERENCIALES'!$C$12</f>
        <v>210</v>
      </c>
      <c r="AH17" s="148">
        <f t="shared" si="10"/>
        <v>15157.723214285714</v>
      </c>
      <c r="AI17" s="598">
        <f>'DATOS REFERENCIALES'!$C$16</f>
        <v>772</v>
      </c>
      <c r="AJ17" s="598">
        <f t="shared" si="11"/>
        <v>181.42</v>
      </c>
      <c r="AK17" s="598">
        <f t="shared" si="12"/>
        <v>590.58000000000004</v>
      </c>
      <c r="AL17" s="598">
        <f t="shared" si="13"/>
        <v>15748.303214285714</v>
      </c>
      <c r="AM17" s="17"/>
      <c r="AN17" s="17"/>
      <c r="AR17" s="8"/>
    </row>
    <row r="18" spans="1:44" s="1" customFormat="1" ht="21.75" customHeight="1" x14ac:dyDescent="0.2">
      <c r="A18" s="75">
        <v>3539</v>
      </c>
      <c r="B18" s="86" t="s">
        <v>41</v>
      </c>
      <c r="C18" s="23">
        <v>0</v>
      </c>
      <c r="D18" s="23"/>
      <c r="E18" s="23"/>
      <c r="F18" s="23"/>
      <c r="G18" s="52">
        <v>1684</v>
      </c>
      <c r="H18" s="35">
        <f t="shared" si="0"/>
        <v>1684</v>
      </c>
      <c r="I18" s="35"/>
      <c r="J18" s="35"/>
      <c r="K18" s="90">
        <f>H18*'DATOS REFERENCIALES'!$C$4</f>
        <v>10821.384</v>
      </c>
      <c r="L18" s="90"/>
      <c r="M18" s="90"/>
      <c r="N18" s="80">
        <f>LOOKUP(C18,'TABLA ANTIG.'!$A$4:$A$39,'TABLA ANTIG.'!$B$4:$B$39)*(K18)</f>
        <v>0</v>
      </c>
      <c r="O18" s="99">
        <f t="shared" si="1"/>
        <v>1082.1384</v>
      </c>
      <c r="P18" s="90">
        <f>'DATOS REFERENCIALES'!$C$8</f>
        <v>4275</v>
      </c>
      <c r="Q18" s="131">
        <f>LOOKUP(C18,'TABLA ANTIG.'!$A$4:$A$39,'TABLA ANTIG.'!$B$4:$B$39)*(P18)</f>
        <v>0</v>
      </c>
      <c r="R18" s="99">
        <v>0</v>
      </c>
      <c r="S18" s="80">
        <f>'DATOS REFERENCIALES'!$C$14</f>
        <v>0</v>
      </c>
      <c r="T18" s="160">
        <f t="shared" si="9"/>
        <v>16178.5224</v>
      </c>
      <c r="U18" s="27">
        <f t="shared" si="2"/>
        <v>1779.6374639999999</v>
      </c>
      <c r="V18" s="27">
        <f t="shared" si="3"/>
        <v>485.35567199999997</v>
      </c>
      <c r="W18" s="27">
        <f t="shared" si="3"/>
        <v>485.35567199999997</v>
      </c>
      <c r="X18" s="27">
        <f t="shared" si="4"/>
        <v>323.570448</v>
      </c>
      <c r="Y18" s="27">
        <f t="shared" si="5"/>
        <v>728.03350799999998</v>
      </c>
      <c r="Z18" s="27">
        <f t="shared" si="6"/>
        <v>3801.9527640000001</v>
      </c>
      <c r="AA18" s="80">
        <f t="shared" si="7"/>
        <v>12376.569636</v>
      </c>
      <c r="AB18" s="148">
        <f>'DATOS REFERENCIALES'!$C$10</f>
        <v>1520</v>
      </c>
      <c r="AC18" s="80">
        <f>IF((IF(H18&gt;1119,('DATOS REFERENCIALES'!$C$9-(T18-U18-V18-W18-X18-Y18+AB18-L18-L18*0.235-(S18-S18*0.235))),(('DATOS REFERENCIALES'!$C$9/1120)*H18)-(K18+N18+O18+P18+Q18+R18-U18-V18-W18-X18-Y18+AB18-(L18-L18*0.235)-(S18*0.235))))&lt;0,0,IF(H18&gt;1119,(('DATOS REFERENCIALES'!$C$9)-(T18-U18-V18-W18-X18-Y18+AB18-(L18-L18*0.235)-(S18-S18*0.235))),(('DATOS REFERENCIALES'!$C$9/1120)*H18)-(K18+N18+O18+P18+Q18+R18-U18-V18-W18-X18-Y18+AB18-(L18-L18*0.235)-(S18*0.235))))</f>
        <v>3253.4303639999998</v>
      </c>
      <c r="AD18" s="131">
        <f t="shared" si="8"/>
        <v>17150</v>
      </c>
      <c r="AE18" s="92">
        <f>'DATOS REFERENCIALES'!$C$13</f>
        <v>1210</v>
      </c>
      <c r="AF18" s="92">
        <f>IF($H18&gt;1119,'DATOS REFERENCIALES'!C17,'DATOS REFERENCIALES'!C17/1120*$H18)</f>
        <v>1500</v>
      </c>
      <c r="AG18" s="80">
        <f>'DATOS REFERENCIALES'!$C$12</f>
        <v>210</v>
      </c>
      <c r="AH18" s="148">
        <f t="shared" si="10"/>
        <v>20070</v>
      </c>
      <c r="AI18" s="598">
        <f>'DATOS REFERENCIALES'!$C$16</f>
        <v>772</v>
      </c>
      <c r="AJ18" s="598">
        <f t="shared" si="11"/>
        <v>181.42</v>
      </c>
      <c r="AK18" s="598">
        <f t="shared" si="12"/>
        <v>590.58000000000004</v>
      </c>
      <c r="AL18" s="598">
        <f t="shared" si="13"/>
        <v>20660.580000000002</v>
      </c>
      <c r="AM18" s="17"/>
      <c r="AN18" s="17"/>
      <c r="AR18" s="8"/>
    </row>
    <row r="19" spans="1:44" s="1" customFormat="1" ht="21.75" customHeight="1" x14ac:dyDescent="0.2">
      <c r="A19" s="75">
        <v>3544</v>
      </c>
      <c r="B19" s="86" t="s">
        <v>42</v>
      </c>
      <c r="C19" s="23">
        <v>0</v>
      </c>
      <c r="D19" s="23"/>
      <c r="E19" s="23"/>
      <c r="F19" s="23"/>
      <c r="G19" s="52">
        <v>952</v>
      </c>
      <c r="H19" s="35">
        <f t="shared" si="0"/>
        <v>952</v>
      </c>
      <c r="I19" s="35"/>
      <c r="J19" s="35"/>
      <c r="K19" s="90">
        <f>H19*'DATOS REFERENCIALES'!$C$4</f>
        <v>6117.5520000000006</v>
      </c>
      <c r="L19" s="90"/>
      <c r="M19" s="90"/>
      <c r="N19" s="80">
        <f>LOOKUP(C19,'TABLA ANTIG.'!$A$4:$A$39,'TABLA ANTIG.'!$B$4:$B$39)*(K19)</f>
        <v>0</v>
      </c>
      <c r="O19" s="99">
        <f t="shared" si="1"/>
        <v>611.75520000000006</v>
      </c>
      <c r="P19" s="90">
        <f>'DATOS REFERENCIALES'!$C$8</f>
        <v>4275</v>
      </c>
      <c r="Q19" s="131">
        <f>LOOKUP(C19,'TABLA ANTIG.'!$A$4:$A$39,'TABLA ANTIG.'!$B$4:$B$39)*(P19)</f>
        <v>0</v>
      </c>
      <c r="R19" s="99">
        <v>0</v>
      </c>
      <c r="S19" s="80">
        <f>'DATOS REFERENCIALES'!$C$14</f>
        <v>0</v>
      </c>
      <c r="T19" s="160">
        <f t="shared" si="9"/>
        <v>11004.307200000001</v>
      </c>
      <c r="U19" s="27">
        <f t="shared" si="2"/>
        <v>1210.4737920000002</v>
      </c>
      <c r="V19" s="27">
        <f t="shared" si="3"/>
        <v>330.12921600000004</v>
      </c>
      <c r="W19" s="27">
        <f t="shared" si="3"/>
        <v>330.12921600000004</v>
      </c>
      <c r="X19" s="27">
        <f t="shared" si="4"/>
        <v>220.08614400000002</v>
      </c>
      <c r="Y19" s="27">
        <f t="shared" si="5"/>
        <v>495.19382400000001</v>
      </c>
      <c r="Z19" s="27">
        <f t="shared" si="6"/>
        <v>2586.0121920000001</v>
      </c>
      <c r="AA19" s="80">
        <f t="shared" si="7"/>
        <v>8418.295008000001</v>
      </c>
      <c r="AB19" s="148">
        <f>'DATOS REFERENCIALES'!$C$10</f>
        <v>1520</v>
      </c>
      <c r="AC19" s="80">
        <f>IF((IF(H19&gt;1119,('DATOS REFERENCIALES'!$C$9-(T19-U19-V19-W19-X19-Y19+AB19-L19-L19*0.235-(S19-S19*0.235))),(('DATOS REFERENCIALES'!$C$9/1120)*H19)-(K19+N19+O19+P19+Q19+R19-U19-V19-W19-X19-Y19+AB19-(L19-L19*0.235)-(S19*0.235))))&lt;0,0,IF(H19&gt;1119,(('DATOS REFERENCIALES'!$C$9)-(T19-(U19+V19+W19+X19+Y19)+AB19-(L19-L19*0.235)+(S19-S19*0.235))),(('DATOS REFERENCIALES'!$C$9/1120)*H19)-((K19+N19+O19+P19+Q19+R19)-(U19+V19+W19+X19+Y19)+AB19)))</f>
        <v>4639.204991999999</v>
      </c>
      <c r="AD19" s="131">
        <f t="shared" si="8"/>
        <v>14577.5</v>
      </c>
      <c r="AE19" s="92">
        <f>'DATOS REFERENCIALES'!$C$13</f>
        <v>1210</v>
      </c>
      <c r="AF19" s="92">
        <f>IF($H19&gt;1119,'DATOS REFERENCIALES'!C17,'DATOS REFERENCIALES'!C17/1120*$H19)</f>
        <v>1275</v>
      </c>
      <c r="AG19" s="80">
        <f>'DATOS REFERENCIALES'!$C$12</f>
        <v>210</v>
      </c>
      <c r="AH19" s="148">
        <f t="shared" si="10"/>
        <v>17272.5</v>
      </c>
      <c r="AI19" s="598">
        <f>'DATOS REFERENCIALES'!$C$16</f>
        <v>772</v>
      </c>
      <c r="AJ19" s="598">
        <f t="shared" si="11"/>
        <v>181.42</v>
      </c>
      <c r="AK19" s="598">
        <f t="shared" si="12"/>
        <v>590.58000000000004</v>
      </c>
      <c r="AL19" s="598">
        <f t="shared" si="13"/>
        <v>17863.080000000002</v>
      </c>
      <c r="AM19" s="17"/>
      <c r="AN19" s="17"/>
      <c r="AR19" s="8"/>
    </row>
    <row r="20" spans="1:44" s="1" customFormat="1" ht="21.75" customHeight="1" x14ac:dyDescent="0.2">
      <c r="A20" s="75">
        <v>3549</v>
      </c>
      <c r="B20" s="86" t="s">
        <v>27</v>
      </c>
      <c r="C20" s="23">
        <v>0</v>
      </c>
      <c r="D20" s="23"/>
      <c r="E20" s="23"/>
      <c r="F20" s="23"/>
      <c r="G20" s="52">
        <v>1120</v>
      </c>
      <c r="H20" s="35">
        <f t="shared" si="0"/>
        <v>1120</v>
      </c>
      <c r="I20" s="35"/>
      <c r="J20" s="35"/>
      <c r="K20" s="90">
        <f>H20*'DATOS REFERENCIALES'!$C$4</f>
        <v>7197.12</v>
      </c>
      <c r="L20" s="90"/>
      <c r="M20" s="90"/>
      <c r="N20" s="80">
        <f>LOOKUP(C20,'TABLA ANTIG.'!$A$4:$A$39,'TABLA ANTIG.'!$B$4:$B$39)*(K20)</f>
        <v>0</v>
      </c>
      <c r="O20" s="99">
        <f t="shared" si="1"/>
        <v>719.71199999999999</v>
      </c>
      <c r="P20" s="90">
        <f>'DATOS REFERENCIALES'!$C$8</f>
        <v>4275</v>
      </c>
      <c r="Q20" s="131">
        <f>LOOKUP(C20,'TABLA ANTIG.'!$A$4:$A$39,'TABLA ANTIG.'!$B$4:$B$39)*(P20)</f>
        <v>0</v>
      </c>
      <c r="R20" s="99">
        <v>0</v>
      </c>
      <c r="S20" s="107">
        <f>'DATOS REFERENCIALES'!$C$14</f>
        <v>0</v>
      </c>
      <c r="T20" s="160">
        <f t="shared" si="9"/>
        <v>12191.832</v>
      </c>
      <c r="U20" s="27">
        <f t="shared" si="2"/>
        <v>1341.1015199999999</v>
      </c>
      <c r="V20" s="27">
        <f t="shared" si="3"/>
        <v>365.75495999999998</v>
      </c>
      <c r="W20" s="27">
        <f t="shared" si="3"/>
        <v>365.75495999999998</v>
      </c>
      <c r="X20" s="27">
        <f t="shared" si="4"/>
        <v>243.83664000000002</v>
      </c>
      <c r="Y20" s="27">
        <f t="shared" si="5"/>
        <v>548.63243999999997</v>
      </c>
      <c r="Z20" s="27">
        <f t="shared" si="6"/>
        <v>2865.0805199999995</v>
      </c>
      <c r="AA20" s="80">
        <f t="shared" si="7"/>
        <v>9326.7514800000008</v>
      </c>
      <c r="AB20" s="148">
        <f>'DATOS REFERENCIALES'!$C$10</f>
        <v>1520</v>
      </c>
      <c r="AC20" s="80">
        <f>IF((IF(H20&gt;1119,('DATOS REFERENCIALES'!$C$9-(T20-U20-V20-W20-X20-Y20+AB20-L20-L20*0.235-(S20-S20*0.235))),(('DATOS REFERENCIALES'!$C$9/1120)*H20)-(K20+N20+O20+P20+Q20+R20-U20-V20-W20-X20-Y20+AB20-(L20-L20*0.235)-(S20*0.235))))&lt;0,0,IF(H20&gt;1119,(('DATOS REFERENCIALES'!$C$9)-(T20-U20-V20-W20-X20-Y20+AB20-(L20-L20*0.235)-(S20-S20*0.235))),(('DATOS REFERENCIALES'!$C$9/1120)*H20)-(K20+N20+O20+P20+Q20+R20-U20-V20-W20-X20-Y20+AB20-(L20-L20*0.235)-(S20*0.235))))</f>
        <v>6303.2485199999992</v>
      </c>
      <c r="AD20" s="131">
        <f t="shared" si="8"/>
        <v>17150</v>
      </c>
      <c r="AE20" s="92">
        <f>'DATOS REFERENCIALES'!$C$13</f>
        <v>1210</v>
      </c>
      <c r="AF20" s="92">
        <f>IF($H20&gt;1119,'DATOS REFERENCIALES'!C17,'DATOS REFERENCIALES'!C17/1120*$H20)</f>
        <v>1500</v>
      </c>
      <c r="AG20" s="80">
        <f>'DATOS REFERENCIALES'!$C$12</f>
        <v>210</v>
      </c>
      <c r="AH20" s="148">
        <f t="shared" si="10"/>
        <v>20070</v>
      </c>
      <c r="AI20" s="598">
        <f>'DATOS REFERENCIALES'!$C$16</f>
        <v>772</v>
      </c>
      <c r="AJ20" s="598">
        <f t="shared" si="11"/>
        <v>181.42</v>
      </c>
      <c r="AK20" s="598">
        <f t="shared" si="12"/>
        <v>590.58000000000004</v>
      </c>
      <c r="AL20" s="598">
        <f t="shared" si="13"/>
        <v>20660.580000000002</v>
      </c>
      <c r="AM20" s="17"/>
      <c r="AN20" s="17"/>
      <c r="AR20" s="8"/>
    </row>
    <row r="21" spans="1:44" s="1" customFormat="1" ht="21.75" customHeight="1" x14ac:dyDescent="0.2">
      <c r="A21" s="75">
        <v>3554</v>
      </c>
      <c r="B21" s="86" t="s">
        <v>30</v>
      </c>
      <c r="C21" s="23">
        <v>0</v>
      </c>
      <c r="D21" s="23"/>
      <c r="E21" s="23"/>
      <c r="F21" s="23"/>
      <c r="G21" s="52">
        <v>810</v>
      </c>
      <c r="H21" s="35">
        <v>825</v>
      </c>
      <c r="I21" s="35"/>
      <c r="J21" s="35"/>
      <c r="K21" s="90">
        <f>H21*'DATOS REFERENCIALES'!$C$4</f>
        <v>5301.45</v>
      </c>
      <c r="L21" s="90"/>
      <c r="M21" s="90"/>
      <c r="N21" s="80">
        <f>LOOKUP(C21,'TABLA ANTIG.'!$A$4:$A$39,'TABLA ANTIG.'!$B$4:$B$39)*(K21)</f>
        <v>0</v>
      </c>
      <c r="O21" s="99">
        <f t="shared" si="1"/>
        <v>530.14499999999998</v>
      </c>
      <c r="P21" s="90">
        <f>'DATOS REFERENCIALES'!$C$8</f>
        <v>4275</v>
      </c>
      <c r="Q21" s="131">
        <f>LOOKUP(C21,'TABLA ANTIG.'!$A$4:$A$39,'TABLA ANTIG.'!$B$4:$B$39)*(P21)</f>
        <v>0</v>
      </c>
      <c r="R21" s="99">
        <v>0</v>
      </c>
      <c r="S21" s="80">
        <f>'DATOS REFERENCIALES'!$C$14</f>
        <v>0</v>
      </c>
      <c r="T21" s="160">
        <f t="shared" si="9"/>
        <v>10106.594999999999</v>
      </c>
      <c r="U21" s="27">
        <f t="shared" si="2"/>
        <v>1111.7254499999999</v>
      </c>
      <c r="V21" s="27">
        <f t="shared" si="3"/>
        <v>303.19784999999996</v>
      </c>
      <c r="W21" s="27">
        <f t="shared" si="3"/>
        <v>303.19784999999996</v>
      </c>
      <c r="X21" s="27">
        <f t="shared" si="4"/>
        <v>202.1319</v>
      </c>
      <c r="Y21" s="27">
        <f t="shared" si="5"/>
        <v>454.79677499999997</v>
      </c>
      <c r="Z21" s="27">
        <f t="shared" si="6"/>
        <v>2375.0498250000001</v>
      </c>
      <c r="AA21" s="80">
        <f t="shared" si="7"/>
        <v>7731.5451749999993</v>
      </c>
      <c r="AB21" s="148">
        <f>'DATOS REFERENCIALES'!$C$10</f>
        <v>1520</v>
      </c>
      <c r="AC21" s="80">
        <f>IF((IF(H21&gt;1119,('DATOS REFERENCIALES'!$C$9-(T21-U21-V21-W21-X21-Y21+AB21-L21-L21*0.235-(S21-S21*0.235))),(('DATOS REFERENCIALES'!$C$9/1120)*H21)-(K21+N21+O21+P21+Q21+R21-U21-V21-W21-X21-Y21+AB21-(L21-L21*0.235)-(S21*0.235))))&lt;0,0,IF(H21&gt;1119,(('DATOS REFERENCIALES'!$C$9)-(T21-(U21+V21+W21+X21+Y21)+AB21-(L21-L21*0.235)+(S21-S21*0.235))),(('DATOS REFERENCIALES'!$C$9/1120)*H21)-((K21+N21+O21+P21+Q21+R21)-(U21+V21+W21+X21+Y21)+AB21-(L21-L21*0.235)+(S21*0.235))))</f>
        <v>3381.2673250000007</v>
      </c>
      <c r="AD21" s="131">
        <f t="shared" si="8"/>
        <v>12632.8125</v>
      </c>
      <c r="AE21" s="92">
        <f>'DATOS REFERENCIALES'!$C$13</f>
        <v>1210</v>
      </c>
      <c r="AF21" s="92">
        <f>IF($H21&gt;1119,'DATOS REFERENCIALES'!C17,'DATOS REFERENCIALES'!C17/1120*$H21)</f>
        <v>1104.9107142857142</v>
      </c>
      <c r="AG21" s="80">
        <f>'DATOS REFERENCIALES'!$C$12</f>
        <v>210</v>
      </c>
      <c r="AH21" s="148">
        <f t="shared" si="10"/>
        <v>15157.723214285714</v>
      </c>
      <c r="AI21" s="598">
        <f>'DATOS REFERENCIALES'!$C$16</f>
        <v>772</v>
      </c>
      <c r="AJ21" s="598">
        <f t="shared" si="11"/>
        <v>181.42</v>
      </c>
      <c r="AK21" s="598">
        <f t="shared" si="12"/>
        <v>590.58000000000004</v>
      </c>
      <c r="AL21" s="598">
        <f t="shared" si="13"/>
        <v>15748.303214285714</v>
      </c>
      <c r="AM21" s="17"/>
      <c r="AN21" s="17"/>
      <c r="AR21" s="8"/>
    </row>
    <row r="22" spans="1:44" s="1" customFormat="1" ht="21.75" customHeight="1" x14ac:dyDescent="0.2">
      <c r="A22" s="75">
        <v>3565</v>
      </c>
      <c r="B22" s="86" t="s">
        <v>44</v>
      </c>
      <c r="C22" s="23">
        <v>0</v>
      </c>
      <c r="D22" s="23"/>
      <c r="E22" s="23"/>
      <c r="F22" s="23"/>
      <c r="G22" s="52">
        <v>810</v>
      </c>
      <c r="H22" s="35">
        <v>825</v>
      </c>
      <c r="I22" s="35"/>
      <c r="J22" s="35"/>
      <c r="K22" s="90">
        <f>H22*'DATOS REFERENCIALES'!$C$4</f>
        <v>5301.45</v>
      </c>
      <c r="L22" s="90"/>
      <c r="M22" s="90"/>
      <c r="N22" s="80">
        <f>LOOKUP(C22,'TABLA ANTIG.'!$A$4:$A$39,'TABLA ANTIG.'!$B$4:$B$39)*(K22)</f>
        <v>0</v>
      </c>
      <c r="O22" s="99">
        <f t="shared" si="1"/>
        <v>530.14499999999998</v>
      </c>
      <c r="P22" s="90">
        <f>'DATOS REFERENCIALES'!$C$8</f>
        <v>4275</v>
      </c>
      <c r="Q22" s="131">
        <f>LOOKUP(C22,'TABLA ANTIG.'!$A$4:$A$39,'TABLA ANTIG.'!$B$4:$B$39)*(P22)</f>
        <v>0</v>
      </c>
      <c r="R22" s="99">
        <v>0</v>
      </c>
      <c r="S22" s="80">
        <f>'DATOS REFERENCIALES'!$C$14</f>
        <v>0</v>
      </c>
      <c r="T22" s="160">
        <f t="shared" si="9"/>
        <v>10106.594999999999</v>
      </c>
      <c r="U22" s="27">
        <f t="shared" si="2"/>
        <v>1111.7254499999999</v>
      </c>
      <c r="V22" s="27">
        <f t="shared" si="3"/>
        <v>303.19784999999996</v>
      </c>
      <c r="W22" s="27">
        <f t="shared" si="3"/>
        <v>303.19784999999996</v>
      </c>
      <c r="X22" s="27">
        <f t="shared" si="4"/>
        <v>202.1319</v>
      </c>
      <c r="Y22" s="27">
        <f t="shared" si="5"/>
        <v>454.79677499999997</v>
      </c>
      <c r="Z22" s="27">
        <f t="shared" si="6"/>
        <v>2375.0498250000001</v>
      </c>
      <c r="AA22" s="80">
        <f t="shared" si="7"/>
        <v>7731.5451749999993</v>
      </c>
      <c r="AB22" s="148">
        <f>'DATOS REFERENCIALES'!$C$10</f>
        <v>1520</v>
      </c>
      <c r="AC22" s="80">
        <f>IF((IF(H22&gt;1119,('DATOS REFERENCIALES'!$C$9-(T22-U22-V22-W22-X22-Y22+AB22-L22-L22*0.235-(S22-S22*0.235))),(('DATOS REFERENCIALES'!$C$9/1120)*H22)-(K22+N22+O22+P22+Q22+R22-U22-V22-W22-X22-Y22+AB22-(L22-L22*0.235)-(S22*0.235))))&lt;0,0,IF(H22&gt;1119,(('DATOS REFERENCIALES'!$C$9)-(T22-(U22+V22+W22+X22+Y22)+AB22-(L22-L22*0.235)+(S22-S22*0.235))),(('DATOS REFERENCIALES'!$C$9/1120)*H22)-((K22+N22+O22+P22+Q22+R22)-(U22+V22+W22+X22+Y22)+AB22-(L22-L22*0.235)+(S22*0.235))))</f>
        <v>3381.2673250000007</v>
      </c>
      <c r="AD22" s="131">
        <f t="shared" si="8"/>
        <v>12632.8125</v>
      </c>
      <c r="AE22" s="92">
        <f>'DATOS REFERENCIALES'!$C$13</f>
        <v>1210</v>
      </c>
      <c r="AF22" s="92">
        <f>IF($H22&gt;1119,'DATOS REFERENCIALES'!C17,'DATOS REFERENCIALES'!C17/1120*$H22)</f>
        <v>1104.9107142857142</v>
      </c>
      <c r="AG22" s="80">
        <f>'DATOS REFERENCIALES'!$C$12</f>
        <v>210</v>
      </c>
      <c r="AH22" s="148">
        <f t="shared" si="10"/>
        <v>15157.723214285714</v>
      </c>
      <c r="AI22" s="598">
        <f>'DATOS REFERENCIALES'!$C$16</f>
        <v>772</v>
      </c>
      <c r="AJ22" s="598">
        <f t="shared" si="11"/>
        <v>181.42</v>
      </c>
      <c r="AK22" s="598">
        <f t="shared" si="12"/>
        <v>590.58000000000004</v>
      </c>
      <c r="AL22" s="598">
        <f t="shared" si="13"/>
        <v>15748.303214285714</v>
      </c>
      <c r="AM22" s="17"/>
      <c r="AN22" s="17"/>
      <c r="AR22" s="8"/>
    </row>
    <row r="23" spans="1:44" s="1" customFormat="1" ht="21.75" customHeight="1" x14ac:dyDescent="0.2">
      <c r="A23" s="75">
        <v>3598</v>
      </c>
      <c r="B23" s="86" t="s">
        <v>43</v>
      </c>
      <c r="C23" s="23">
        <v>0</v>
      </c>
      <c r="D23" s="35">
        <v>1</v>
      </c>
      <c r="E23" s="23"/>
      <c r="F23" s="23"/>
      <c r="G23" s="52">
        <v>65</v>
      </c>
      <c r="H23" s="35">
        <f t="shared" si="0"/>
        <v>65</v>
      </c>
      <c r="I23" s="35"/>
      <c r="J23" s="35"/>
      <c r="K23" s="90">
        <f>(H23*'DATOS REFERENCIALES'!$C$4)*D23</f>
        <v>417.69</v>
      </c>
      <c r="L23" s="90"/>
      <c r="M23" s="90"/>
      <c r="N23" s="80">
        <f>LOOKUP(C23,'TABLA ANTIG.'!$A$4:$A$39,'TABLA ANTIG.'!$B$4:$B$39)*(K23)</f>
        <v>0</v>
      </c>
      <c r="O23" s="99">
        <f t="shared" si="1"/>
        <v>41.769000000000005</v>
      </c>
      <c r="P23" s="90">
        <f>IF(D23&gt;48,'DATOS REFERENCIALES'!$D$8+('DATOS REFERENCIALES'!$F$8*10),IF(D23&lt;39,'DATOS REFERENCIALES'!$E$8*D23,((D23-'DATOS REFERENCIALES'!$I$8)*'DATOS REFERENCIALES'!$F$8)+'DATOS REFERENCIALES'!$D$8))</f>
        <v>225</v>
      </c>
      <c r="Q23" s="131">
        <f>LOOKUP(C23,'TABLA ANTIG.'!$A$4:$A$39,'TABLA ANTIG.'!$B$4:$B$39)*(P23)</f>
        <v>0</v>
      </c>
      <c r="R23" s="99">
        <v>0</v>
      </c>
      <c r="S23" s="90">
        <f>IF(D23&gt;29.99,'DATOS REFERENCIALES'!$D$14,'DATOS REFERENCIALES'!$G$14*D23)</f>
        <v>0</v>
      </c>
      <c r="T23" s="160">
        <f t="shared" si="9"/>
        <v>684.45900000000006</v>
      </c>
      <c r="U23" s="27">
        <f t="shared" si="2"/>
        <v>75.290490000000005</v>
      </c>
      <c r="V23" s="27">
        <f t="shared" si="3"/>
        <v>20.533770000000001</v>
      </c>
      <c r="W23" s="27">
        <f t="shared" si="3"/>
        <v>20.533770000000001</v>
      </c>
      <c r="X23" s="27">
        <f t="shared" si="4"/>
        <v>13.689180000000002</v>
      </c>
      <c r="Y23" s="27">
        <f t="shared" si="5"/>
        <v>30.800655000000003</v>
      </c>
      <c r="Z23" s="27">
        <f t="shared" si="6"/>
        <v>160.84786500000001</v>
      </c>
      <c r="AA23" s="80">
        <f t="shared" si="7"/>
        <v>523.6111350000001</v>
      </c>
      <c r="AB23" s="148">
        <f>IF(D23&gt;38,'DATOS REFERENCIALES'!$D$10,'DATOS REFERENCIALES'!$E$10*D23)</f>
        <v>80</v>
      </c>
      <c r="AC23" s="80">
        <f>IF(D23&gt;41,IF((('DATOS REFERENCIALES'!$D$9)-((T23-S23)-(Z23-S23*0.235)+(AB23)))&lt;0,0,((('DATOS REFERENCIALES'!$D$9)-((T23-S23)-(Z23-S23*0.235)+(AB23))))),IF((('DATOS REFERENCIALES'!$E$9*D23)-(((T23-S23)-(Z23-S23*0.235)+(AB23))))&lt;0,0,('DATOS REFERENCIALES'!$E$9*D23)-((T23-S23)-(Z23-S23*0.235)+(AB23))))</f>
        <v>253.8888649999999</v>
      </c>
      <c r="AD23" s="131">
        <f t="shared" si="8"/>
        <v>857.5</v>
      </c>
      <c r="AE23" s="92">
        <f>IF(D23&gt;'DATOS REFERENCIALES'!$K$13,'DATOS REFERENCIALES'!$D$13,'DATOS REFERENCIALES'!$G$13*D23)</f>
        <v>100.83329999999999</v>
      </c>
      <c r="AF23" s="80">
        <f>IF(D23&gt;'DATOS REFERENCIALES'!$I$17,'DATOS REFERENCIALES'!$E$17,('DATOS REFERENCIALES'!$E$17*D23))</f>
        <v>75</v>
      </c>
      <c r="AG23" s="80">
        <f>IF(D23&gt;'DATOS REFERENCIALES'!$K$12,'DATOS REFERENCIALES'!$D$12,'DATOS REFERENCIALES'!$G$12*D23)</f>
        <v>17.5</v>
      </c>
      <c r="AH23" s="148">
        <f t="shared" si="10"/>
        <v>1050.8333</v>
      </c>
      <c r="AI23" s="598">
        <f>IF(D23&gt;'DATOS REFERENCIALES'!$K$16,'DATOS REFERENCIALES'!$D$16,'DATOS REFERENCIALES'!$G$16*D23)</f>
        <v>64.34</v>
      </c>
      <c r="AJ23" s="598">
        <f t="shared" si="11"/>
        <v>15.119899999999999</v>
      </c>
      <c r="AK23" s="598">
        <f t="shared" si="12"/>
        <v>49.220100000000002</v>
      </c>
      <c r="AL23" s="598">
        <f t="shared" si="13"/>
        <v>1100.0534</v>
      </c>
      <c r="AM23" s="17"/>
      <c r="AN23" s="17"/>
      <c r="AR23" s="8"/>
    </row>
    <row r="24" spans="1:44" s="1" customFormat="1" ht="21.75" customHeight="1" thickBot="1" x14ac:dyDescent="0.25">
      <c r="A24" s="76">
        <v>3598</v>
      </c>
      <c r="B24" s="87" t="s">
        <v>100</v>
      </c>
      <c r="C24" s="24">
        <v>0</v>
      </c>
      <c r="D24" s="57">
        <v>1</v>
      </c>
      <c r="E24" s="24"/>
      <c r="F24" s="24"/>
      <c r="G24" s="53">
        <v>65</v>
      </c>
      <c r="H24" s="57">
        <f t="shared" si="0"/>
        <v>65</v>
      </c>
      <c r="I24" s="57"/>
      <c r="J24" s="57"/>
      <c r="K24" s="91">
        <f>(H24*'DATOS REFERENCIALES'!$C$4)*D24</f>
        <v>417.69</v>
      </c>
      <c r="L24" s="91"/>
      <c r="M24" s="91"/>
      <c r="N24" s="81">
        <f>LOOKUP(C24,'TABLA ANTIG.'!$A$4:$A$39,'TABLA ANTIG.'!$B$4:$B$39)*(K24)</f>
        <v>0</v>
      </c>
      <c r="O24" s="100">
        <f t="shared" si="1"/>
        <v>41.769000000000005</v>
      </c>
      <c r="P24" s="91">
        <f>IF(D24&gt;48,'DATOS REFERENCIALES'!$D$8+('DATOS REFERENCIALES'!$F$8*10),IF(D24&lt;39,'DATOS REFERENCIALES'!$E$8*D24,((D24-'DATOS REFERENCIALES'!$I$8)*'DATOS REFERENCIALES'!$F$8)+'DATOS REFERENCIALES'!$D$8))</f>
        <v>225</v>
      </c>
      <c r="Q24" s="132">
        <f>LOOKUP(C24,'TABLA ANTIG.'!$A$4:$A$39,'TABLA ANTIG.'!$B$4:$B$39)*(P24)</f>
        <v>0</v>
      </c>
      <c r="R24" s="100">
        <v>0</v>
      </c>
      <c r="S24" s="91">
        <f>IF(D24&gt;29.99,'DATOS REFERENCIALES'!$D$14,'DATOS REFERENCIALES'!$G$14*D24)</f>
        <v>0</v>
      </c>
      <c r="T24" s="207">
        <f t="shared" si="9"/>
        <v>684.45900000000006</v>
      </c>
      <c r="U24" s="28">
        <f t="shared" si="2"/>
        <v>75.290490000000005</v>
      </c>
      <c r="V24" s="28">
        <f t="shared" si="3"/>
        <v>20.533770000000001</v>
      </c>
      <c r="W24" s="28">
        <f t="shared" si="3"/>
        <v>20.533770000000001</v>
      </c>
      <c r="X24" s="28">
        <f t="shared" si="4"/>
        <v>13.689180000000002</v>
      </c>
      <c r="Y24" s="28">
        <f t="shared" si="5"/>
        <v>30.800655000000003</v>
      </c>
      <c r="Z24" s="28">
        <f t="shared" si="6"/>
        <v>160.84786500000001</v>
      </c>
      <c r="AA24" s="81">
        <f t="shared" si="7"/>
        <v>523.6111350000001</v>
      </c>
      <c r="AB24" s="151">
        <f>IF(D24&gt;38,'DATOS REFERENCIALES'!$D$10,'DATOS REFERENCIALES'!$E$10*D24)</f>
        <v>80</v>
      </c>
      <c r="AC24" s="81">
        <f>IF(D24&gt;41,IF((('DATOS REFERENCIALES'!$D$9)-((T24-S24)-(Z24-S24*0.235)+(AB24)))&lt;0,0,((('DATOS REFERENCIALES'!$D$9)-((T24-S24)-(Z24-S24*0.235)+(AB24))))),IF((('DATOS REFERENCIALES'!$E$9*D24)-(((T24-S24)-(Z24-S24*0.235)+(AB24))))&lt;0,0,('DATOS REFERENCIALES'!$E$9*D24)-((T24-S24)-(Z24-S24*0.235)+(AB24))))</f>
        <v>253.8888649999999</v>
      </c>
      <c r="AD24" s="132">
        <f t="shared" si="8"/>
        <v>857.5</v>
      </c>
      <c r="AE24" s="93">
        <f>IF(D24&gt;'DATOS REFERENCIALES'!$K$13,'DATOS REFERENCIALES'!$D$13,'DATOS REFERENCIALES'!$G$13*D24)</f>
        <v>100.83329999999999</v>
      </c>
      <c r="AF24" s="81">
        <f>IF(D24&gt;'DATOS REFERENCIALES'!$I$17,'DATOS REFERENCIALES'!$D$17,('DATOS REFERENCIALES'!$E$17*D24))</f>
        <v>75</v>
      </c>
      <c r="AG24" s="81">
        <f>IF(D24&gt;'DATOS REFERENCIALES'!$K$12,'DATOS REFERENCIALES'!$D$12,'DATOS REFERENCIALES'!$G$12*D24)</f>
        <v>17.5</v>
      </c>
      <c r="AH24" s="151">
        <f t="shared" si="10"/>
        <v>1050.8333</v>
      </c>
      <c r="AI24" s="600">
        <f>IF(D24&gt;'DATOS REFERENCIALES'!$K$16,'DATOS REFERENCIALES'!$D$16,'DATOS REFERENCIALES'!$G$16*D24)</f>
        <v>64.34</v>
      </c>
      <c r="AJ24" s="600">
        <f t="shared" si="11"/>
        <v>15.119899999999999</v>
      </c>
      <c r="AK24" s="600">
        <f t="shared" si="12"/>
        <v>49.220100000000002</v>
      </c>
      <c r="AL24" s="600">
        <f t="shared" si="13"/>
        <v>1100.0534</v>
      </c>
      <c r="AM24" s="17"/>
      <c r="AN24" s="17"/>
      <c r="AR24" s="8"/>
    </row>
    <row r="25" spans="1:44" s="1" customFormat="1" ht="21.75" customHeight="1" thickBot="1" x14ac:dyDescent="0.35">
      <c r="A25" s="128"/>
      <c r="B25" s="72"/>
      <c r="C25" s="73"/>
      <c r="D25" s="73"/>
      <c r="E25" s="73"/>
      <c r="F25" s="73"/>
      <c r="G25" s="67"/>
      <c r="H25" s="44"/>
      <c r="I25" s="44"/>
      <c r="J25" s="44"/>
      <c r="K25" s="41"/>
      <c r="L25" s="41"/>
      <c r="M25" s="41"/>
      <c r="N25" s="42"/>
      <c r="O25" s="74"/>
      <c r="P25" s="41"/>
      <c r="Q25" s="42"/>
      <c r="R25" s="74"/>
      <c r="S25" s="74"/>
      <c r="T25" s="74"/>
      <c r="U25" s="74"/>
      <c r="V25" s="74"/>
      <c r="W25" s="74"/>
      <c r="X25" s="74"/>
      <c r="Y25" s="74"/>
      <c r="Z25" s="74"/>
      <c r="AA25" s="45"/>
      <c r="AB25" s="45"/>
      <c r="AC25" s="45"/>
      <c r="AD25" s="45"/>
      <c r="AE25" s="47"/>
      <c r="AF25" s="47"/>
      <c r="AG25" s="45"/>
      <c r="AH25" s="45"/>
      <c r="AI25" s="31"/>
      <c r="AJ25" s="16"/>
      <c r="AK25" s="17"/>
      <c r="AL25" s="13"/>
      <c r="AM25" s="17"/>
      <c r="AN25" s="17"/>
      <c r="AR25" s="8"/>
    </row>
    <row r="26" spans="1:44" s="1" customFormat="1" ht="21" thickBot="1" x14ac:dyDescent="0.35">
      <c r="A26" s="95" t="s">
        <v>137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5" t="s">
        <v>137</v>
      </c>
      <c r="AE26" s="96"/>
      <c r="AF26" s="96"/>
      <c r="AG26" s="96"/>
      <c r="AH26" s="96"/>
      <c r="AI26" s="13"/>
      <c r="AJ26" s="585">
        <v>0.23499999999999999</v>
      </c>
      <c r="AK26" s="13"/>
      <c r="AL26" s="16"/>
      <c r="AM26" s="17"/>
      <c r="AN26" s="17"/>
    </row>
    <row r="27" spans="1:44" s="2" customFormat="1" ht="12.75" customHeight="1" thickBot="1" x14ac:dyDescent="0.25">
      <c r="A27" s="687" t="s">
        <v>1</v>
      </c>
      <c r="B27" s="687" t="s">
        <v>0</v>
      </c>
      <c r="C27" s="629" t="s">
        <v>77</v>
      </c>
      <c r="D27" s="629" t="s">
        <v>119</v>
      </c>
      <c r="E27" s="629" t="s">
        <v>127</v>
      </c>
      <c r="F27" s="629" t="s">
        <v>113</v>
      </c>
      <c r="G27" s="629" t="s">
        <v>102</v>
      </c>
      <c r="H27" s="629" t="s">
        <v>79</v>
      </c>
      <c r="I27" s="629" t="s">
        <v>148</v>
      </c>
      <c r="J27" s="627" t="s">
        <v>147</v>
      </c>
      <c r="K27" s="647" t="s">
        <v>121</v>
      </c>
      <c r="L27" s="647" t="s">
        <v>146</v>
      </c>
      <c r="M27" s="647" t="s">
        <v>147</v>
      </c>
      <c r="N27" s="645" t="s">
        <v>85</v>
      </c>
      <c r="O27" s="645" t="s">
        <v>120</v>
      </c>
      <c r="P27" s="647" t="s">
        <v>86</v>
      </c>
      <c r="Q27" s="645" t="s">
        <v>101</v>
      </c>
      <c r="R27" s="645" t="s">
        <v>84</v>
      </c>
      <c r="S27" s="629" t="s">
        <v>192</v>
      </c>
      <c r="T27" s="645" t="s">
        <v>69</v>
      </c>
      <c r="U27" s="682" t="s">
        <v>59</v>
      </c>
      <c r="V27" s="683"/>
      <c r="W27" s="683"/>
      <c r="X27" s="683"/>
      <c r="Y27" s="683"/>
      <c r="Z27" s="673" t="s">
        <v>68</v>
      </c>
      <c r="AA27" s="629" t="s">
        <v>89</v>
      </c>
      <c r="AB27" s="629" t="s">
        <v>88</v>
      </c>
      <c r="AC27" s="629" t="s">
        <v>87</v>
      </c>
      <c r="AD27" s="629" t="s">
        <v>91</v>
      </c>
      <c r="AE27" s="629" t="s">
        <v>90</v>
      </c>
      <c r="AF27" s="629" t="s">
        <v>196</v>
      </c>
      <c r="AG27" s="673" t="s">
        <v>145</v>
      </c>
      <c r="AH27" s="629" t="s">
        <v>92</v>
      </c>
      <c r="AI27" s="629" t="s">
        <v>192</v>
      </c>
      <c r="AJ27" s="631" t="s">
        <v>68</v>
      </c>
      <c r="AK27" s="629" t="s">
        <v>194</v>
      </c>
      <c r="AL27" s="629" t="s">
        <v>195</v>
      </c>
      <c r="AM27" s="17"/>
      <c r="AN27" s="17"/>
    </row>
    <row r="28" spans="1:44" s="2" customFormat="1" ht="89.25" customHeight="1" thickBot="1" x14ac:dyDescent="0.25">
      <c r="A28" s="688"/>
      <c r="B28" s="688"/>
      <c r="C28" s="630"/>
      <c r="D28" s="630"/>
      <c r="E28" s="630"/>
      <c r="F28" s="630"/>
      <c r="G28" s="630"/>
      <c r="H28" s="630"/>
      <c r="I28" s="630"/>
      <c r="J28" s="628"/>
      <c r="K28" s="648"/>
      <c r="L28" s="648"/>
      <c r="M28" s="648"/>
      <c r="N28" s="646"/>
      <c r="O28" s="646"/>
      <c r="P28" s="648"/>
      <c r="Q28" s="646"/>
      <c r="R28" s="646"/>
      <c r="S28" s="630"/>
      <c r="T28" s="646"/>
      <c r="U28" s="78" t="s">
        <v>141</v>
      </c>
      <c r="V28" s="105" t="s">
        <v>61</v>
      </c>
      <c r="W28" s="105" t="s">
        <v>62</v>
      </c>
      <c r="X28" s="105" t="s">
        <v>63</v>
      </c>
      <c r="Y28" s="105" t="s">
        <v>64</v>
      </c>
      <c r="Z28" s="681"/>
      <c r="AA28" s="630"/>
      <c r="AB28" s="630"/>
      <c r="AC28" s="630"/>
      <c r="AD28" s="630"/>
      <c r="AE28" s="630"/>
      <c r="AF28" s="630"/>
      <c r="AG28" s="630"/>
      <c r="AH28" s="630"/>
      <c r="AI28" s="630"/>
      <c r="AJ28" s="632"/>
      <c r="AK28" s="630"/>
      <c r="AL28" s="630"/>
      <c r="AM28" s="17"/>
      <c r="AN28" s="17"/>
    </row>
    <row r="29" spans="1:44" s="5" customFormat="1" ht="21.75" customHeight="1" x14ac:dyDescent="0.2">
      <c r="A29" s="368">
        <v>3503</v>
      </c>
      <c r="B29" s="521" t="s">
        <v>23</v>
      </c>
      <c r="C29" s="340">
        <v>0</v>
      </c>
      <c r="D29" s="522"/>
      <c r="E29" s="522"/>
      <c r="F29" s="522"/>
      <c r="G29" s="412">
        <v>3422</v>
      </c>
      <c r="H29" s="340">
        <f>SUM(G29:G29)</f>
        <v>3422</v>
      </c>
      <c r="I29" s="340"/>
      <c r="J29" s="340"/>
      <c r="K29" s="345">
        <f>H29*'DATOS REFERENCIALES'!$C$4</f>
        <v>21989.772000000001</v>
      </c>
      <c r="L29" s="345"/>
      <c r="M29" s="345"/>
      <c r="N29" s="347">
        <f>LOOKUP(C29,'TABLA ANTIG.'!$A$4:$A$39,'TABLA ANTIG.'!$B$4:$B$39)*(K29)</f>
        <v>0</v>
      </c>
      <c r="O29" s="347">
        <f>K29*0.1</f>
        <v>2198.9772000000003</v>
      </c>
      <c r="P29" s="345">
        <f>'DATOS REFERENCIALES'!$C$8</f>
        <v>4275</v>
      </c>
      <c r="Q29" s="347">
        <f>LOOKUP(C29,'TABLA ANTIG.'!$A$4:$A$39,'TABLA ANTIG.'!$B$4:$B$39)*(P29)</f>
        <v>0</v>
      </c>
      <c r="R29" s="523">
        <v>0</v>
      </c>
      <c r="S29" s="427">
        <f>'DATOS REFERENCIALES'!$C$14</f>
        <v>0</v>
      </c>
      <c r="T29" s="350">
        <f>K29+N29+O29+P29+Q29+R29+S29</f>
        <v>28463.749200000002</v>
      </c>
      <c r="U29" s="523">
        <f t="shared" ref="U29:U35" si="14">$T29*11%</f>
        <v>3131.012412</v>
      </c>
      <c r="V29" s="523">
        <f t="shared" ref="V29:W35" si="15">$T29*3%</f>
        <v>853.91247600000008</v>
      </c>
      <c r="W29" s="523">
        <f t="shared" si="15"/>
        <v>853.91247600000008</v>
      </c>
      <c r="X29" s="523">
        <f t="shared" ref="X29:X35" si="16">$T29*2%</f>
        <v>569.27498400000002</v>
      </c>
      <c r="Y29" s="523">
        <f t="shared" ref="Y29:Y35" si="17">$T29*4.5%</f>
        <v>1280.868714</v>
      </c>
      <c r="Z29" s="347">
        <f t="shared" ref="Z29:Z35" si="18">SUM(U29:Y29)</f>
        <v>6688.9810619999998</v>
      </c>
      <c r="AA29" s="523">
        <f t="shared" ref="AA29:AA35" si="19">T29-Z29</f>
        <v>21774.768138000003</v>
      </c>
      <c r="AB29" s="347">
        <f>'DATOS REFERENCIALES'!$C$10</f>
        <v>1520</v>
      </c>
      <c r="AC29" s="347">
        <f>IF((IF(H29&gt;1119,('DATOS REFERENCIALES'!$C$9-(T29-U29-V29-W29-X29-Y29+AB29)),(('DATOS REFERENCIALES'!$C$9/1120)*H29)-(K29+N29+O29+P29+Q29+R29-U29-V29-W29-X29-Y29+AB29)))&lt;0,0,IF(H29&gt;1119,(('DATOS REFERENCIALES'!$C$9)-(T29-U29-V29-W29-X29-Y29+AB29)),(('DATOS REFERENCIALES'!$C$9/1120)*H29)-(K29+N29+O29+P29+Q29+R29-U29-V29-W29-X29-Y29+AB29)))</f>
        <v>0</v>
      </c>
      <c r="AD29" s="523">
        <f t="shared" ref="AD29:AD35" si="20">SUM(AA29:AC29)</f>
        <v>23294.768138000003</v>
      </c>
      <c r="AE29" s="352">
        <f>'DATOS REFERENCIALES'!$C$13</f>
        <v>1210</v>
      </c>
      <c r="AF29" s="374">
        <f>IF($H29&gt;1119,'DATOS REFERENCIALES'!C17,'DATOS REFERENCIALES'!C17/1120*$H29)</f>
        <v>1500</v>
      </c>
      <c r="AG29" s="347">
        <f>'DATOS REFERENCIALES'!$C$12</f>
        <v>210</v>
      </c>
      <c r="AH29" s="633">
        <f>SUM(AD29:AG29)+SUM(AD30:AG30)</f>
        <v>27602.597623350004</v>
      </c>
      <c r="AI29" s="710">
        <f>'DATOS REFERENCIALES'!$C$16</f>
        <v>772</v>
      </c>
      <c r="AJ29" s="710">
        <f>AI29*$AJ$26</f>
        <v>181.42</v>
      </c>
      <c r="AK29" s="710">
        <f>AI29-AJ29</f>
        <v>590.58000000000004</v>
      </c>
      <c r="AL29" s="708">
        <f>AH29+AK29</f>
        <v>28193.177623350006</v>
      </c>
      <c r="AM29" s="17"/>
      <c r="AN29" s="17"/>
      <c r="AR29" s="8"/>
    </row>
    <row r="30" spans="1:44" s="5" customFormat="1" ht="26.25" customHeight="1" thickBot="1" x14ac:dyDescent="0.25">
      <c r="A30" s="375">
        <v>3503</v>
      </c>
      <c r="B30" s="524" t="s">
        <v>23</v>
      </c>
      <c r="C30" s="355">
        <f>IF(C29&gt;0,C29,0)</f>
        <v>0</v>
      </c>
      <c r="D30" s="525"/>
      <c r="E30" s="525"/>
      <c r="F30" s="525"/>
      <c r="G30" s="414"/>
      <c r="H30" s="355"/>
      <c r="I30" s="355">
        <v>256.64999999999998</v>
      </c>
      <c r="J30" s="359"/>
      <c r="K30" s="360"/>
      <c r="L30" s="360">
        <f>I30*'DATOS REFERENCIALES'!$C$4</f>
        <v>1649.2329</v>
      </c>
      <c r="M30" s="360"/>
      <c r="N30" s="362">
        <f>LOOKUP(C30,'TABLA ANTIG.'!$A$4:$A$39,'TABLA ANTIG.'!$B$4:$B$39)*(L30+M30)</f>
        <v>0</v>
      </c>
      <c r="O30" s="362">
        <f>(L30+M30)*0.1</f>
        <v>164.92329000000001</v>
      </c>
      <c r="P30" s="360"/>
      <c r="Q30" s="362"/>
      <c r="R30" s="362"/>
      <c r="S30" s="365"/>
      <c r="T30" s="365">
        <f>L30+M30+N30+O30+P30+Q30+R30</f>
        <v>1814.1561899999999</v>
      </c>
      <c r="U30" s="362">
        <f t="shared" si="14"/>
        <v>199.55718089999999</v>
      </c>
      <c r="V30" s="362">
        <f t="shared" si="15"/>
        <v>54.424685699999998</v>
      </c>
      <c r="W30" s="365">
        <f t="shared" si="15"/>
        <v>54.424685699999998</v>
      </c>
      <c r="X30" s="362">
        <f t="shared" si="16"/>
        <v>36.283123799999998</v>
      </c>
      <c r="Y30" s="362">
        <f t="shared" si="17"/>
        <v>81.637028549999997</v>
      </c>
      <c r="Z30" s="362">
        <f t="shared" si="18"/>
        <v>426.32670465000001</v>
      </c>
      <c r="AA30" s="366">
        <f t="shared" si="19"/>
        <v>1387.8294853499999</v>
      </c>
      <c r="AB30" s="362"/>
      <c r="AC30" s="362"/>
      <c r="AD30" s="361">
        <f t="shared" si="20"/>
        <v>1387.8294853499999</v>
      </c>
      <c r="AE30" s="367"/>
      <c r="AF30" s="380"/>
      <c r="AG30" s="362"/>
      <c r="AH30" s="634"/>
      <c r="AI30" s="711"/>
      <c r="AJ30" s="711"/>
      <c r="AK30" s="711"/>
      <c r="AL30" s="709"/>
      <c r="AM30" s="17"/>
      <c r="AN30" s="17"/>
      <c r="AR30" s="8"/>
    </row>
    <row r="31" spans="1:44" s="5" customFormat="1" ht="21.75" customHeight="1" x14ac:dyDescent="0.2">
      <c r="A31" s="399">
        <v>3504</v>
      </c>
      <c r="B31" s="526" t="s">
        <v>38</v>
      </c>
      <c r="C31" s="279">
        <v>0</v>
      </c>
      <c r="D31" s="527"/>
      <c r="E31" s="527"/>
      <c r="F31" s="527"/>
      <c r="G31" s="280">
        <v>2874</v>
      </c>
      <c r="H31" s="279">
        <f>SUM(G31:G31)</f>
        <v>2874</v>
      </c>
      <c r="I31" s="279"/>
      <c r="J31" s="279"/>
      <c r="K31" s="281">
        <f>H31*'DATOS REFERENCIALES'!$C$4</f>
        <v>18468.324000000001</v>
      </c>
      <c r="L31" s="281"/>
      <c r="M31" s="281"/>
      <c r="N31" s="283">
        <f>LOOKUP(C31,'TABLA ANTIG.'!$A$4:$A$39,'TABLA ANTIG.'!$B$4:$B$39)*(K31)</f>
        <v>0</v>
      </c>
      <c r="O31" s="283">
        <f>K31*0.1</f>
        <v>1846.8324000000002</v>
      </c>
      <c r="P31" s="281">
        <f>'DATOS REFERENCIALES'!$C$8</f>
        <v>4275</v>
      </c>
      <c r="Q31" s="283">
        <f>LOOKUP(C31,'TABLA ANTIG.'!$A$4:$A$39,'TABLA ANTIG.'!$B$4:$B$39)*(P31)</f>
        <v>0</v>
      </c>
      <c r="R31" s="528">
        <v>0</v>
      </c>
      <c r="S31" s="420">
        <f>'DATOS REFERENCIALES'!$C$14</f>
        <v>0</v>
      </c>
      <c r="T31" s="286">
        <f>K31+N31+O31+P31+Q31+R31+S31</f>
        <v>24590.1564</v>
      </c>
      <c r="U31" s="528">
        <f t="shared" si="14"/>
        <v>2704.9172039999999</v>
      </c>
      <c r="V31" s="528">
        <f t="shared" si="15"/>
        <v>737.70469200000002</v>
      </c>
      <c r="W31" s="528">
        <f t="shared" si="15"/>
        <v>737.70469200000002</v>
      </c>
      <c r="X31" s="528">
        <f t="shared" si="16"/>
        <v>491.80312800000002</v>
      </c>
      <c r="Y31" s="528">
        <f t="shared" si="17"/>
        <v>1106.5570379999999</v>
      </c>
      <c r="Z31" s="283">
        <f t="shared" si="18"/>
        <v>5778.6867539999994</v>
      </c>
      <c r="AA31" s="528">
        <f t="shared" si="19"/>
        <v>18811.469646000001</v>
      </c>
      <c r="AB31" s="283">
        <f>'DATOS REFERENCIALES'!$C$10</f>
        <v>1520</v>
      </c>
      <c r="AC31" s="283">
        <f>IF((IF(H31&gt;1119,('DATOS REFERENCIALES'!$C$9-(T31-U31-V31-W31-X31-Y31+AB31)),(('DATOS REFERENCIALES'!$C$9/1120)*H31)-(K31+N31+O31+P31+Q31+R31-U31-V31-W31-X31-Y31+AB31)))&lt;0,0,IF(H31&gt;1119,(('DATOS REFERENCIALES'!$C$9)-(T31-U31-V31-W31-X31-Y31+AB31)),(('DATOS REFERENCIALES'!$C$9/1120)*H31)-(K31+N31+O31+P31+Q31+R31-U31-V31-W31-X31-Y31+AB31)))</f>
        <v>0</v>
      </c>
      <c r="AD31" s="528">
        <f t="shared" si="20"/>
        <v>20331.469646000001</v>
      </c>
      <c r="AE31" s="288">
        <f>'DATOS REFERENCIALES'!$C$13</f>
        <v>1210</v>
      </c>
      <c r="AF31" s="404">
        <f>IF($H31&gt;1119,'DATOS REFERENCIALES'!C17,'DATOS REFERENCIALES'!C17/1120*$H31)</f>
        <v>1500</v>
      </c>
      <c r="AG31" s="283">
        <f>'DATOS REFERENCIALES'!$C$12</f>
        <v>210</v>
      </c>
      <c r="AH31" s="639">
        <f>SUM(AD31:AG31)+SUM(AD32:AG32)</f>
        <v>24417.05174445</v>
      </c>
      <c r="AI31" s="712">
        <f>'DATOS REFERENCIALES'!$C$16</f>
        <v>772</v>
      </c>
      <c r="AJ31" s="712">
        <f>AI31*$AJ$26</f>
        <v>181.42</v>
      </c>
      <c r="AK31" s="712">
        <f>AI31-AJ31</f>
        <v>590.58000000000004</v>
      </c>
      <c r="AL31" s="714">
        <f>AH31+AK31</f>
        <v>25007.631744450002</v>
      </c>
      <c r="AM31" s="17"/>
      <c r="AN31" s="17"/>
      <c r="AR31" s="8"/>
    </row>
    <row r="32" spans="1:44" s="5" customFormat="1" ht="21.75" customHeight="1" thickBot="1" x14ac:dyDescent="0.25">
      <c r="A32" s="405">
        <v>3504</v>
      </c>
      <c r="B32" s="529" t="s">
        <v>38</v>
      </c>
      <c r="C32" s="291">
        <f>IF(C31&gt;0,C31,0)</f>
        <v>0</v>
      </c>
      <c r="D32" s="530"/>
      <c r="E32" s="530"/>
      <c r="F32" s="530"/>
      <c r="G32" s="423"/>
      <c r="H32" s="331"/>
      <c r="I32" s="331">
        <v>215.55</v>
      </c>
      <c r="J32" s="424"/>
      <c r="K32" s="335"/>
      <c r="L32" s="335">
        <f>I32*'DATOS REFERENCIALES'!$C$4</f>
        <v>1385.1243000000002</v>
      </c>
      <c r="M32" s="335"/>
      <c r="N32" s="302">
        <f>LOOKUP(C32,'TABLA ANTIG.'!$A$4:$A$39,'TABLA ANTIG.'!$B$4:$B$39)*(L32+M32)</f>
        <v>0</v>
      </c>
      <c r="O32" s="302">
        <f>(L32+M32)*0.1</f>
        <v>138.51243000000002</v>
      </c>
      <c r="P32" s="335"/>
      <c r="Q32" s="302"/>
      <c r="R32" s="302"/>
      <c r="S32" s="299"/>
      <c r="T32" s="336">
        <f>L32+M32+N32+O32+P32+Q32+R32</f>
        <v>1523.6367300000002</v>
      </c>
      <c r="U32" s="302">
        <f t="shared" si="14"/>
        <v>167.60004030000002</v>
      </c>
      <c r="V32" s="302">
        <f t="shared" si="15"/>
        <v>45.7091019</v>
      </c>
      <c r="W32" s="336">
        <f t="shared" si="15"/>
        <v>45.7091019</v>
      </c>
      <c r="X32" s="302">
        <f t="shared" si="16"/>
        <v>30.472734600000003</v>
      </c>
      <c r="Y32" s="302">
        <f t="shared" si="17"/>
        <v>68.563652850000011</v>
      </c>
      <c r="Z32" s="302">
        <f t="shared" si="18"/>
        <v>358.05463155000007</v>
      </c>
      <c r="AA32" s="337">
        <f t="shared" si="19"/>
        <v>1165.5820984500001</v>
      </c>
      <c r="AB32" s="302"/>
      <c r="AC32" s="297"/>
      <c r="AD32" s="300">
        <f t="shared" si="20"/>
        <v>1165.5820984500001</v>
      </c>
      <c r="AE32" s="531"/>
      <c r="AF32" s="438"/>
      <c r="AG32" s="302"/>
      <c r="AH32" s="640"/>
      <c r="AI32" s="713"/>
      <c r="AJ32" s="713"/>
      <c r="AK32" s="713"/>
      <c r="AL32" s="732"/>
      <c r="AM32" s="17"/>
      <c r="AN32" s="17"/>
      <c r="AR32" s="8"/>
    </row>
    <row r="33" spans="1:44" s="5" customFormat="1" ht="21.75" customHeight="1" x14ac:dyDescent="0.2">
      <c r="A33" s="161">
        <v>3582</v>
      </c>
      <c r="B33" s="253" t="s">
        <v>42</v>
      </c>
      <c r="C33" s="250">
        <v>0</v>
      </c>
      <c r="D33" s="250"/>
      <c r="E33" s="250"/>
      <c r="F33" s="250"/>
      <c r="G33" s="164">
        <v>952</v>
      </c>
      <c r="H33" s="120">
        <f>SUM(G33:G33)</f>
        <v>952</v>
      </c>
      <c r="I33" s="120"/>
      <c r="J33" s="120"/>
      <c r="K33" s="251">
        <f>H33*'DATOS REFERENCIALES'!$C$4</f>
        <v>6117.5520000000006</v>
      </c>
      <c r="L33" s="251"/>
      <c r="M33" s="251"/>
      <c r="N33" s="107">
        <f>LOOKUP(C33,'TABLA ANTIG.'!$A$4:$A$39,'TABLA ANTIG.'!$B$4:$B$39)*(K33)</f>
        <v>0</v>
      </c>
      <c r="O33" s="107">
        <f>K33*0.1</f>
        <v>611.75520000000006</v>
      </c>
      <c r="P33" s="251">
        <f>'DATOS REFERENCIALES'!$C$8</f>
        <v>4275</v>
      </c>
      <c r="Q33" s="107">
        <f>LOOKUP(C33,'TABLA ANTIG.'!$A$4:$A$39,'TABLA ANTIG.'!$B$4:$B$39)*(P33)</f>
        <v>0</v>
      </c>
      <c r="R33" s="554">
        <v>0</v>
      </c>
      <c r="S33" s="79">
        <f>'DATOS REFERENCIALES'!$C$14</f>
        <v>0</v>
      </c>
      <c r="T33" s="206">
        <f>K33+N33+O33+P33+Q33+R33+S33</f>
        <v>11004.307200000001</v>
      </c>
      <c r="U33" s="252">
        <f t="shared" si="14"/>
        <v>1210.4737920000002</v>
      </c>
      <c r="V33" s="252">
        <f t="shared" si="15"/>
        <v>330.12921600000004</v>
      </c>
      <c r="W33" s="252">
        <f t="shared" si="15"/>
        <v>330.12921600000004</v>
      </c>
      <c r="X33" s="252">
        <f t="shared" si="16"/>
        <v>220.08614400000002</v>
      </c>
      <c r="Y33" s="252">
        <f t="shared" si="17"/>
        <v>495.19382400000001</v>
      </c>
      <c r="Z33" s="107">
        <f t="shared" si="18"/>
        <v>2586.0121920000001</v>
      </c>
      <c r="AA33" s="252">
        <f t="shared" si="19"/>
        <v>8418.295008000001</v>
      </c>
      <c r="AB33" s="150">
        <f>'DATOS REFERENCIALES'!$C$10</f>
        <v>1520</v>
      </c>
      <c r="AC33" s="551">
        <f>IF((IF(H33&gt;1119,('DATOS REFERENCIALES'!$C$9-(T33-U33-V33-W33-X33-Y33+AB33-L33-L33*0.235-(S33-S33*0.235))),(('DATOS REFERENCIALES'!$C$9/1120)*H33)-(K33+N33+O33+P33+Q33+R33-U33-V33-W33-X33-Y33+AB33-(L33-L33*0.235)-(S33*0.235))))&lt;0,0,IF(H33&gt;1119,(('DATOS REFERENCIALES'!$C$9)-(T33-(U33+V33+W33+X33+Y33)+AB33-(L33-L33*0.235)+(S33-S33*0.235))),(('DATOS REFERENCIALES'!$C$9/1120)*H33)-((K33+N33+O33+P33+Q33+R33)-(U33+V33+W33+X33+Y33)+AB33-(L33-L33*0.235)+(S33*0.235))))</f>
        <v>4639.204991999999</v>
      </c>
      <c r="AD33" s="256">
        <f t="shared" si="20"/>
        <v>14577.5</v>
      </c>
      <c r="AE33" s="532">
        <f>'DATOS REFERENCIALES'!$C$13</f>
        <v>1210</v>
      </c>
      <c r="AF33" s="272">
        <f>IF($H33&gt;1119,'DATOS REFERENCIALES'!C17,'DATOS REFERENCIALES'!C17/1120*$H33)</f>
        <v>1275</v>
      </c>
      <c r="AG33" s="107">
        <f>'DATOS REFERENCIALES'!$C$12</f>
        <v>210</v>
      </c>
      <c r="AH33" s="150">
        <f>SUM(AD33:AG33)</f>
        <v>17272.5</v>
      </c>
      <c r="AI33" s="596">
        <f>'DATOS REFERENCIALES'!$C$16</f>
        <v>772</v>
      </c>
      <c r="AJ33" s="603">
        <f>AI33*$AJ$26</f>
        <v>181.42</v>
      </c>
      <c r="AK33" s="596">
        <f>AI33-AJ33</f>
        <v>590.58000000000004</v>
      </c>
      <c r="AL33" s="596">
        <f>AH33+AK33</f>
        <v>17863.080000000002</v>
      </c>
      <c r="AM33" s="17"/>
      <c r="AN33" s="17"/>
      <c r="AR33" s="8"/>
    </row>
    <row r="34" spans="1:44" s="1" customFormat="1" ht="21.75" customHeight="1" x14ac:dyDescent="0.2">
      <c r="A34" s="75">
        <v>455</v>
      </c>
      <c r="B34" s="254" t="s">
        <v>53</v>
      </c>
      <c r="C34" s="25">
        <v>0</v>
      </c>
      <c r="D34" s="25"/>
      <c r="E34" s="25"/>
      <c r="F34" s="25"/>
      <c r="G34" s="52">
        <v>2264</v>
      </c>
      <c r="H34" s="35">
        <f>SUM(G34:G34)</f>
        <v>2264</v>
      </c>
      <c r="I34" s="35"/>
      <c r="J34" s="35"/>
      <c r="K34" s="116">
        <f>H34*'DATOS REFERENCIALES'!$C$4</f>
        <v>14548.464</v>
      </c>
      <c r="L34" s="116"/>
      <c r="M34" s="116"/>
      <c r="N34" s="80">
        <f>LOOKUP(C34,'TABLA ANTIG.'!$A$4:$A$39,'TABLA ANTIG.'!$B$4:$B$39)*(K34)</f>
        <v>0</v>
      </c>
      <c r="O34" s="80">
        <f>K34*0.1</f>
        <v>1454.8464000000001</v>
      </c>
      <c r="P34" s="116">
        <f>'DATOS REFERENCIALES'!$D$8</f>
        <v>8550</v>
      </c>
      <c r="Q34" s="80">
        <f>LOOKUP(C34,'TABLA ANTIG.'!$A$4:$A$39,'TABLA ANTIG.'!$B$4:$B$39)*(P34)</f>
        <v>0</v>
      </c>
      <c r="R34" s="555">
        <v>0</v>
      </c>
      <c r="S34" s="80">
        <f>'DATOS REFERENCIALES'!$D$14</f>
        <v>0</v>
      </c>
      <c r="T34" s="152">
        <f>K34+N34+O34+P34+Q34+R34+S34</f>
        <v>24553.310400000002</v>
      </c>
      <c r="U34" s="118">
        <f t="shared" si="14"/>
        <v>2700.8641440000001</v>
      </c>
      <c r="V34" s="118">
        <f t="shared" si="15"/>
        <v>736.59931200000005</v>
      </c>
      <c r="W34" s="118">
        <f t="shared" si="15"/>
        <v>736.59931200000005</v>
      </c>
      <c r="X34" s="118">
        <f t="shared" si="16"/>
        <v>491.06620800000007</v>
      </c>
      <c r="Y34" s="118">
        <f t="shared" si="17"/>
        <v>1104.898968</v>
      </c>
      <c r="Z34" s="80">
        <f t="shared" si="18"/>
        <v>5770.0279440000013</v>
      </c>
      <c r="AA34" s="118">
        <f t="shared" si="19"/>
        <v>18783.282456000001</v>
      </c>
      <c r="AB34" s="148">
        <f>'DATOS REFERENCIALES'!D10</f>
        <v>3040</v>
      </c>
      <c r="AC34" s="553">
        <f>IF((IF(H34&gt;2042,('DATOS REFERENCIALES'!$D$9-(T34-U34-V34-W34-X34-Y34+AB34)+(S34-S34*0.235)),(('DATOS REFERENCIALES'!$D$9/2043)*H34)-(K34+N34+O34+P34+Q34+R34-U34-V34-W34-X34-Y34+AB34)))&lt;0,0,IF(H34&gt;2042,(('DATOS REFERENCIALES'!$D$9)-(T34-U34-V34-W34-X34-Y34+AB34)+(S34-S34*0.235)),(('DATOS REFERENCIALES'!$D$9/2043)*H34)-(K34+N34+O34+P34+Q34+R34-U34-V34-W34-X34-Y34+AB34)))</f>
        <v>12476.717543999996</v>
      </c>
      <c r="AD34" s="257">
        <f t="shared" si="20"/>
        <v>34300</v>
      </c>
      <c r="AE34" s="538">
        <f>'DATOS REFERENCIALES'!D13</f>
        <v>2420</v>
      </c>
      <c r="AF34" s="275">
        <f>IF($H34&gt;1119,'DATOS REFERENCIALES'!D17,'DATOS REFERENCIALES'!D17/1120*$H34)</f>
        <v>3000</v>
      </c>
      <c r="AG34" s="80">
        <f>'DATOS REFERENCIALES'!$D$12</f>
        <v>420</v>
      </c>
      <c r="AH34" s="148">
        <f>SUM(AD34:AF34)</f>
        <v>39720</v>
      </c>
      <c r="AI34" s="598">
        <f>'DATOS REFERENCIALES'!D16</f>
        <v>1544</v>
      </c>
      <c r="AJ34" s="604">
        <f>AI34*$AJ$26</f>
        <v>362.84</v>
      </c>
      <c r="AK34" s="598">
        <f>AI34-AJ34</f>
        <v>1181.1600000000001</v>
      </c>
      <c r="AL34" s="598">
        <f>AH34+AK34</f>
        <v>40901.160000000003</v>
      </c>
      <c r="AM34" s="17"/>
      <c r="AN34" s="17"/>
      <c r="AR34" s="8"/>
    </row>
    <row r="35" spans="1:44" s="1" customFormat="1" ht="21.75" customHeight="1" thickBot="1" x14ac:dyDescent="0.25">
      <c r="A35" s="76">
        <v>3525</v>
      </c>
      <c r="B35" s="255" t="s">
        <v>25</v>
      </c>
      <c r="C35" s="26">
        <v>0</v>
      </c>
      <c r="D35" s="26"/>
      <c r="E35" s="26"/>
      <c r="F35" s="26"/>
      <c r="G35" s="53">
        <v>2204</v>
      </c>
      <c r="H35" s="57">
        <v>2500</v>
      </c>
      <c r="I35" s="57"/>
      <c r="J35" s="57"/>
      <c r="K35" s="117">
        <f>H35*'DATOS REFERENCIALES'!$C$4</f>
        <v>16065</v>
      </c>
      <c r="L35" s="117"/>
      <c r="M35" s="117"/>
      <c r="N35" s="81">
        <f>LOOKUP(C35,'TABLA ANTIG.'!$A$4:$A$39,'TABLA ANTIG.'!$B$4:$B$39)*(K35)</f>
        <v>0</v>
      </c>
      <c r="O35" s="81">
        <f>K35*0.1</f>
        <v>1606.5</v>
      </c>
      <c r="P35" s="117">
        <f>'DATOS REFERENCIALES'!$C$8</f>
        <v>4275</v>
      </c>
      <c r="Q35" s="81">
        <f>LOOKUP(C35,'TABLA ANTIG.'!$A$4:$A$39,'TABLA ANTIG.'!$B$4:$B$39)*(P35)</f>
        <v>0</v>
      </c>
      <c r="R35" s="556">
        <v>0</v>
      </c>
      <c r="S35" s="81">
        <f>'DATOS REFERENCIALES'!$C$14</f>
        <v>0</v>
      </c>
      <c r="T35" s="159">
        <f>K35+N35+O35+P35+Q35+R35+S35</f>
        <v>21946.5</v>
      </c>
      <c r="U35" s="119">
        <f t="shared" si="14"/>
        <v>2414.1150000000002</v>
      </c>
      <c r="V35" s="119">
        <f t="shared" si="15"/>
        <v>658.39499999999998</v>
      </c>
      <c r="W35" s="119">
        <f t="shared" si="15"/>
        <v>658.39499999999998</v>
      </c>
      <c r="X35" s="119">
        <f t="shared" si="16"/>
        <v>438.93</v>
      </c>
      <c r="Y35" s="119">
        <f t="shared" si="17"/>
        <v>987.59249999999997</v>
      </c>
      <c r="Z35" s="81">
        <f t="shared" si="18"/>
        <v>5157.4274999999998</v>
      </c>
      <c r="AA35" s="119">
        <f t="shared" si="19"/>
        <v>16789.072500000002</v>
      </c>
      <c r="AB35" s="151">
        <f>'DATOS REFERENCIALES'!$C$10</f>
        <v>1520</v>
      </c>
      <c r="AC35" s="559">
        <f>IF((IF(H35&gt;1119,('DATOS REFERENCIALES'!$C$9-(T35-U35-V35-W35-X35-Y35+AB35-L35-L35*0.235-(S35-S35*0.235))),(('DATOS REFERENCIALES'!$C$9/1120)*H35)-(K35+N35+O35+P35+Q35+R35-U35-V35-W35-X35-Y35+AB35-(L35-L35*0.235)-(S35*0.235))))&lt;0,0,IF(H35&gt;1119,(('DATOS REFERENCIALES'!$C$9)-(T35-(U35+V35+W35+X35+Y35)+AB35-(L35-L35*0.235)+(S35-S35*0.235))),(('DATOS REFERENCIALES'!$C$9/1120)*H35)-((K35+N35+O35+P35+Q35+R35)-(U35+V35+W35+X35+Y35)+AB35-(L35-L35*0.235)+(S35*0.235))))</f>
        <v>0</v>
      </c>
      <c r="AD35" s="258">
        <f t="shared" si="20"/>
        <v>18309.072500000002</v>
      </c>
      <c r="AE35" s="93">
        <f>'DATOS REFERENCIALES'!$C$13</f>
        <v>1210</v>
      </c>
      <c r="AF35" s="273">
        <f>IF($H35&gt;1119,'DATOS REFERENCIALES'!C17,'DATOS REFERENCIALES'!C17/1120*$H35)</f>
        <v>1500</v>
      </c>
      <c r="AG35" s="81">
        <f>'DATOS REFERENCIALES'!$C$12</f>
        <v>210</v>
      </c>
      <c r="AH35" s="151">
        <f>SUM(AD35:AG35)</f>
        <v>21229.072500000002</v>
      </c>
      <c r="AI35" s="600">
        <f>'DATOS REFERENCIALES'!C16</f>
        <v>772</v>
      </c>
      <c r="AJ35" s="605">
        <f>AI35*$AJ$26</f>
        <v>181.42</v>
      </c>
      <c r="AK35" s="600">
        <f>AI35-AJ35</f>
        <v>590.58000000000004</v>
      </c>
      <c r="AL35" s="600">
        <f>AH35+AK35</f>
        <v>21819.652500000004</v>
      </c>
      <c r="AM35" s="17"/>
      <c r="AN35" s="17"/>
      <c r="AR35" s="8"/>
    </row>
    <row r="36" spans="1:44" x14ac:dyDescent="0.2">
      <c r="AK36" s="586"/>
    </row>
  </sheetData>
  <mergeCells count="91">
    <mergeCell ref="J9:J10"/>
    <mergeCell ref="N27:N28"/>
    <mergeCell ref="Q27:Q28"/>
    <mergeCell ref="AH29:AH30"/>
    <mergeCell ref="AH31:AH32"/>
    <mergeCell ref="R9:R10"/>
    <mergeCell ref="AB27:AB28"/>
    <mergeCell ref="K9:K10"/>
    <mergeCell ref="AC9:AC10"/>
    <mergeCell ref="AD27:AD28"/>
    <mergeCell ref="T9:T10"/>
    <mergeCell ref="AH9:AH10"/>
    <mergeCell ref="AH27:AH28"/>
    <mergeCell ref="AE9:AE10"/>
    <mergeCell ref="AE27:AE28"/>
    <mergeCell ref="O27:O28"/>
    <mergeCell ref="K3:AA5"/>
    <mergeCell ref="R27:R28"/>
    <mergeCell ref="T27:T28"/>
    <mergeCell ref="U27:Y27"/>
    <mergeCell ref="Z27:Z28"/>
    <mergeCell ref="A6:AH6"/>
    <mergeCell ref="A7:AH7"/>
    <mergeCell ref="AB9:AB10"/>
    <mergeCell ref="AC27:AC28"/>
    <mergeCell ref="AD9:AD10"/>
    <mergeCell ref="A9:A10"/>
    <mergeCell ref="B9:B10"/>
    <mergeCell ref="C27:C28"/>
    <mergeCell ref="A27:A28"/>
    <mergeCell ref="C9:C10"/>
    <mergeCell ref="Q9:Q10"/>
    <mergeCell ref="E27:E28"/>
    <mergeCell ref="S9:S10"/>
    <mergeCell ref="S27:S28"/>
    <mergeCell ref="D9:D10"/>
    <mergeCell ref="H27:H28"/>
    <mergeCell ref="L27:L28"/>
    <mergeCell ref="M27:M28"/>
    <mergeCell ref="G9:G10"/>
    <mergeCell ref="P9:P10"/>
    <mergeCell ref="F27:F28"/>
    <mergeCell ref="P27:P28"/>
    <mergeCell ref="L9:L10"/>
    <mergeCell ref="M9:M10"/>
    <mergeCell ref="I9:I10"/>
    <mergeCell ref="J27:J28"/>
    <mergeCell ref="N9:N10"/>
    <mergeCell ref="AJ9:AJ10"/>
    <mergeCell ref="B27:B28"/>
    <mergeCell ref="K27:K28"/>
    <mergeCell ref="O9:O10"/>
    <mergeCell ref="AF9:AF10"/>
    <mergeCell ref="AF27:AF28"/>
    <mergeCell ref="E9:E10"/>
    <mergeCell ref="F9:F10"/>
    <mergeCell ref="D27:D28"/>
    <mergeCell ref="U9:Y9"/>
    <mergeCell ref="AA27:AA28"/>
    <mergeCell ref="Z9:Z10"/>
    <mergeCell ref="AA9:AA10"/>
    <mergeCell ref="I27:I28"/>
    <mergeCell ref="H9:H10"/>
    <mergeCell ref="G27:G28"/>
    <mergeCell ref="AH11:AH12"/>
    <mergeCell ref="AH13:AH14"/>
    <mergeCell ref="AG9:AG10"/>
    <mergeCell ref="AG27:AG28"/>
    <mergeCell ref="AI9:AI10"/>
    <mergeCell ref="AK9:AK10"/>
    <mergeCell ref="AL9:AL10"/>
    <mergeCell ref="AI29:AI30"/>
    <mergeCell ref="AJ29:AJ30"/>
    <mergeCell ref="AK29:AK30"/>
    <mergeCell ref="AL29:AL30"/>
    <mergeCell ref="AI11:AI12"/>
    <mergeCell ref="AJ11:AJ12"/>
    <mergeCell ref="AK11:AK12"/>
    <mergeCell ref="AL11:AL12"/>
    <mergeCell ref="AI13:AI14"/>
    <mergeCell ref="AJ13:AJ14"/>
    <mergeCell ref="AK13:AK14"/>
    <mergeCell ref="AL13:AL14"/>
    <mergeCell ref="AI27:AI28"/>
    <mergeCell ref="AJ27:AJ28"/>
    <mergeCell ref="AI31:AI32"/>
    <mergeCell ref="AJ31:AJ32"/>
    <mergeCell ref="AK31:AK32"/>
    <mergeCell ref="AL31:AL32"/>
    <mergeCell ref="AK27:AK28"/>
    <mergeCell ref="AL27:AL28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O174"/>
  <sheetViews>
    <sheetView topLeftCell="A4" zoomScale="65" zoomScaleNormal="65" workbookViewId="0">
      <selection activeCell="E17" sqref="E17"/>
    </sheetView>
  </sheetViews>
  <sheetFormatPr baseColWidth="10" defaultRowHeight="12.75" x14ac:dyDescent="0.2"/>
  <cols>
    <col min="1" max="1" width="11.85546875" style="10" customWidth="1"/>
    <col min="2" max="2" width="60" style="1" customWidth="1"/>
    <col min="3" max="3" width="32.42578125" style="13" bestFit="1" customWidth="1"/>
    <col min="4" max="4" width="19.5703125" style="13" customWidth="1"/>
    <col min="5" max="5" width="21.140625" style="13" customWidth="1"/>
    <col min="6" max="6" width="15.28515625" style="13" customWidth="1"/>
    <col min="7" max="7" width="18.28515625" style="13" customWidth="1"/>
    <col min="8" max="8" width="13.7109375" style="13" customWidth="1"/>
    <col min="9" max="9" width="16.28515625" style="14" customWidth="1"/>
    <col min="10" max="10" width="16.42578125" style="13" customWidth="1"/>
    <col min="11" max="11" width="16.28515625" style="13" customWidth="1"/>
    <col min="12" max="13" width="17.85546875" style="14" customWidth="1"/>
    <col min="14" max="14" width="16.5703125" style="13" customWidth="1"/>
    <col min="15" max="15" width="19.85546875" style="13" customWidth="1"/>
    <col min="16" max="16" width="20.42578125" style="13" customWidth="1"/>
    <col min="17" max="17" width="18" style="13" customWidth="1"/>
    <col min="18" max="18" width="19.42578125" style="13" customWidth="1"/>
    <col min="19" max="19" width="16.85546875" style="13" customWidth="1"/>
    <col min="20" max="20" width="17" style="13" customWidth="1"/>
    <col min="21" max="21" width="15.7109375" style="13" customWidth="1"/>
    <col min="22" max="22" width="15.140625" style="13" customWidth="1"/>
    <col min="23" max="23" width="16.85546875" style="13" customWidth="1"/>
    <col min="24" max="25" width="16.85546875" style="13" hidden="1" customWidth="1"/>
    <col min="26" max="26" width="16.85546875" style="13" customWidth="1"/>
    <col min="27" max="27" width="15.5703125" style="13" customWidth="1"/>
    <col min="28" max="28" width="14.28515625" style="13" customWidth="1"/>
    <col min="29" max="29" width="18.7109375" style="13" hidden="1" customWidth="1"/>
    <col min="30" max="31" width="18.7109375" style="13" customWidth="1"/>
    <col min="32" max="35" width="11.42578125" style="13"/>
    <col min="36" max="36" width="12.7109375" style="13" customWidth="1"/>
    <col min="37" max="37" width="11.42578125" style="13"/>
    <col min="38" max="40" width="11.42578125" style="1"/>
    <col min="41" max="41" width="12.28515625" style="1" bestFit="1" customWidth="1"/>
    <col min="42" max="16384" width="11.42578125" style="1"/>
  </cols>
  <sheetData>
    <row r="2" spans="1:37" ht="59.25" x14ac:dyDescent="0.75">
      <c r="A2" s="735" t="s">
        <v>103</v>
      </c>
      <c r="B2" s="735"/>
    </row>
    <row r="3" spans="1:37" ht="59.25" x14ac:dyDescent="0.75">
      <c r="A3" s="70"/>
      <c r="B3" s="70"/>
    </row>
    <row r="4" spans="1:37" ht="30" x14ac:dyDescent="0.4">
      <c r="B4" s="139" t="s">
        <v>104</v>
      </c>
      <c r="C4" s="563">
        <v>6.4260000000000002</v>
      </c>
      <c r="D4" s="83"/>
      <c r="E4" s="83"/>
      <c r="F4" s="83"/>
    </row>
    <row r="5" spans="1:37" ht="30" x14ac:dyDescent="0.4">
      <c r="B5" s="82"/>
      <c r="C5" s="83"/>
      <c r="D5" s="83"/>
      <c r="E5" s="83"/>
      <c r="F5" s="83"/>
    </row>
    <row r="6" spans="1:37" ht="30" customHeight="1" x14ac:dyDescent="0.4">
      <c r="B6" s="82"/>
      <c r="C6" s="137"/>
      <c r="D6" s="137"/>
      <c r="E6" s="137"/>
      <c r="F6" s="736" t="s">
        <v>110</v>
      </c>
      <c r="G6" s="737" t="s">
        <v>108</v>
      </c>
      <c r="H6" s="738" t="s">
        <v>117</v>
      </c>
      <c r="I6" s="738" t="s">
        <v>118</v>
      </c>
      <c r="J6" s="752" t="s">
        <v>115</v>
      </c>
      <c r="K6" s="750" t="s">
        <v>116</v>
      </c>
      <c r="L6" s="749" t="s">
        <v>142</v>
      </c>
      <c r="M6" s="749" t="s">
        <v>143</v>
      </c>
    </row>
    <row r="7" spans="1:37" ht="50.25" customHeight="1" x14ac:dyDescent="0.2">
      <c r="C7" s="138" t="s">
        <v>140</v>
      </c>
      <c r="D7" s="138" t="s">
        <v>105</v>
      </c>
      <c r="E7" s="138" t="s">
        <v>114</v>
      </c>
      <c r="F7" s="736"/>
      <c r="G7" s="737"/>
      <c r="H7" s="738"/>
      <c r="I7" s="738"/>
      <c r="J7" s="753"/>
      <c r="K7" s="751"/>
      <c r="L7" s="749"/>
      <c r="M7" s="749"/>
    </row>
    <row r="8" spans="1:37" ht="33.950000000000003" customHeight="1" x14ac:dyDescent="0.3">
      <c r="B8" s="140" t="s">
        <v>111</v>
      </c>
      <c r="C8" s="173">
        <v>4275</v>
      </c>
      <c r="D8" s="173">
        <v>8550</v>
      </c>
      <c r="E8" s="173">
        <v>225</v>
      </c>
      <c r="F8" s="174">
        <v>50</v>
      </c>
      <c r="G8" s="174"/>
      <c r="H8" s="270">
        <v>19</v>
      </c>
      <c r="I8" s="270">
        <v>38</v>
      </c>
      <c r="J8" s="270">
        <v>19</v>
      </c>
      <c r="K8" s="270">
        <v>38</v>
      </c>
      <c r="L8" s="271"/>
      <c r="M8" s="271"/>
    </row>
    <row r="9" spans="1:37" ht="33.950000000000003" customHeight="1" x14ac:dyDescent="0.3">
      <c r="B9" s="140" t="s">
        <v>106</v>
      </c>
      <c r="C9" s="173">
        <v>17150</v>
      </c>
      <c r="D9" s="173">
        <v>34300</v>
      </c>
      <c r="E9" s="173">
        <v>857.5</v>
      </c>
      <c r="F9" s="176"/>
      <c r="G9" s="174"/>
      <c r="H9" s="270">
        <v>20</v>
      </c>
      <c r="I9" s="270">
        <v>40</v>
      </c>
      <c r="J9" s="270">
        <v>20</v>
      </c>
      <c r="K9" s="270">
        <v>40</v>
      </c>
      <c r="L9" s="173">
        <v>10737</v>
      </c>
      <c r="M9" s="173">
        <v>28544</v>
      </c>
    </row>
    <row r="10" spans="1:37" ht="33.950000000000003" customHeight="1" x14ac:dyDescent="0.3">
      <c r="B10" s="140" t="s">
        <v>107</v>
      </c>
      <c r="C10" s="173">
        <v>1520</v>
      </c>
      <c r="D10" s="173">
        <v>3040</v>
      </c>
      <c r="E10" s="173">
        <v>80</v>
      </c>
      <c r="F10" s="176"/>
      <c r="G10" s="174"/>
      <c r="H10" s="270">
        <v>19</v>
      </c>
      <c r="I10" s="270">
        <v>38</v>
      </c>
      <c r="J10" s="270">
        <v>19</v>
      </c>
      <c r="K10" s="270">
        <v>38</v>
      </c>
      <c r="L10" s="269"/>
      <c r="M10" s="269"/>
    </row>
    <row r="11" spans="1:37" ht="33.950000000000003" hidden="1" customHeight="1" x14ac:dyDescent="0.3">
      <c r="B11" s="140"/>
      <c r="C11" s="173">
        <v>0</v>
      </c>
      <c r="D11" s="173">
        <v>0</v>
      </c>
      <c r="E11" s="175">
        <v>0</v>
      </c>
      <c r="F11" s="176"/>
      <c r="G11" s="175">
        <v>0</v>
      </c>
      <c r="H11" s="270">
        <v>15</v>
      </c>
      <c r="I11" s="270">
        <v>30</v>
      </c>
      <c r="J11" s="270">
        <v>12</v>
      </c>
      <c r="K11" s="270">
        <v>24</v>
      </c>
      <c r="L11" s="269"/>
      <c r="M11" s="269"/>
    </row>
    <row r="12" spans="1:37" ht="33.950000000000003" customHeight="1" x14ac:dyDescent="0.3">
      <c r="B12" s="140" t="s">
        <v>144</v>
      </c>
      <c r="C12" s="173">
        <v>210</v>
      </c>
      <c r="D12" s="173">
        <v>420</v>
      </c>
      <c r="E12" s="174">
        <v>14</v>
      </c>
      <c r="F12" s="176"/>
      <c r="G12" s="174">
        <v>17.5</v>
      </c>
      <c r="H12" s="270">
        <v>15</v>
      </c>
      <c r="I12" s="270">
        <v>30</v>
      </c>
      <c r="J12" s="270">
        <v>12</v>
      </c>
      <c r="K12" s="270">
        <v>24</v>
      </c>
      <c r="L12" s="269"/>
      <c r="M12" s="269"/>
    </row>
    <row r="13" spans="1:37" ht="33.950000000000003" customHeight="1" x14ac:dyDescent="0.3">
      <c r="B13" s="140" t="s">
        <v>109</v>
      </c>
      <c r="C13" s="173">
        <v>1210</v>
      </c>
      <c r="D13" s="173">
        <v>2420</v>
      </c>
      <c r="E13" s="175">
        <v>80.666659999999993</v>
      </c>
      <c r="F13" s="176"/>
      <c r="G13" s="173">
        <v>100.83329999999999</v>
      </c>
      <c r="H13" s="270">
        <v>15</v>
      </c>
      <c r="I13" s="270">
        <v>30</v>
      </c>
      <c r="J13" s="270">
        <v>12</v>
      </c>
      <c r="K13" s="270">
        <v>24</v>
      </c>
      <c r="L13" s="269"/>
      <c r="M13" s="269"/>
    </row>
    <row r="14" spans="1:37" ht="40.5" hidden="1" customHeight="1" x14ac:dyDescent="0.3">
      <c r="B14" s="140" t="s">
        <v>193</v>
      </c>
      <c r="C14" s="173">
        <v>0</v>
      </c>
      <c r="D14" s="173">
        <v>0</v>
      </c>
      <c r="E14" s="175">
        <v>0</v>
      </c>
      <c r="F14" s="176"/>
      <c r="G14" s="174"/>
      <c r="H14" s="270">
        <v>15</v>
      </c>
      <c r="I14" s="270">
        <v>30</v>
      </c>
      <c r="J14" s="270">
        <v>12</v>
      </c>
      <c r="K14" s="270">
        <v>24</v>
      </c>
    </row>
    <row r="15" spans="1:37" ht="40.5" hidden="1" customHeight="1" x14ac:dyDescent="0.3">
      <c r="B15" s="140"/>
      <c r="C15" s="173"/>
      <c r="D15" s="173"/>
      <c r="E15" s="173"/>
      <c r="F15" s="176"/>
      <c r="G15" s="174"/>
      <c r="H15" s="270"/>
      <c r="I15" s="270"/>
      <c r="J15" s="270"/>
      <c r="K15" s="270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</row>
    <row r="16" spans="1:37" ht="40.5" customHeight="1" x14ac:dyDescent="0.3">
      <c r="B16" s="140" t="s">
        <v>193</v>
      </c>
      <c r="C16" s="173">
        <v>772</v>
      </c>
      <c r="D16" s="173">
        <v>1544</v>
      </c>
      <c r="E16" s="173">
        <v>51.47</v>
      </c>
      <c r="F16" s="176"/>
      <c r="G16" s="174">
        <v>64.34</v>
      </c>
      <c r="H16" s="270">
        <v>15</v>
      </c>
      <c r="I16" s="270">
        <v>30</v>
      </c>
      <c r="J16" s="270">
        <v>12</v>
      </c>
      <c r="K16" s="270">
        <v>24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17" spans="1:37" ht="40.5" customHeight="1" x14ac:dyDescent="0.3">
      <c r="B17" s="140" t="s">
        <v>197</v>
      </c>
      <c r="C17" s="173">
        <v>1500</v>
      </c>
      <c r="D17" s="173">
        <v>3000</v>
      </c>
      <c r="E17" s="173">
        <f>C17/H17</f>
        <v>75</v>
      </c>
      <c r="F17" s="176"/>
      <c r="G17" s="174"/>
      <c r="H17" s="270">
        <v>20</v>
      </c>
      <c r="I17" s="270">
        <v>40</v>
      </c>
      <c r="J17" s="270">
        <v>20</v>
      </c>
      <c r="K17" s="270">
        <v>40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</row>
    <row r="19" spans="1:37" ht="13.5" thickBot="1" x14ac:dyDescent="0.25">
      <c r="A19" s="1"/>
      <c r="C19" s="195" t="s">
        <v>166</v>
      </c>
      <c r="D19" s="195" t="s">
        <v>167</v>
      </c>
      <c r="E19" s="195" t="s">
        <v>168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37" ht="15" thickBot="1" x14ac:dyDescent="0.25">
      <c r="A20" s="1"/>
      <c r="B20" s="191"/>
      <c r="C20" s="194">
        <v>0.06</v>
      </c>
      <c r="D20" s="194">
        <v>0.1</v>
      </c>
      <c r="E20" s="194">
        <v>0.15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 ht="29.25" thickBot="1" x14ac:dyDescent="0.25">
      <c r="A21" s="1"/>
      <c r="B21" s="192" t="s">
        <v>149</v>
      </c>
      <c r="C21" s="193" t="s">
        <v>150</v>
      </c>
      <c r="D21" s="193" t="s">
        <v>151</v>
      </c>
      <c r="E21" s="193" t="s">
        <v>152</v>
      </c>
      <c r="G21" s="742" t="s">
        <v>176</v>
      </c>
      <c r="H21" s="742"/>
      <c r="I21" s="742"/>
      <c r="J21" s="742"/>
      <c r="K21" s="742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ht="38.25" customHeight="1" thickBot="1" x14ac:dyDescent="0.25">
      <c r="A22" s="1"/>
      <c r="B22" s="192" t="s">
        <v>149</v>
      </c>
      <c r="C22" s="193" t="s">
        <v>153</v>
      </c>
      <c r="D22" s="193" t="s">
        <v>154</v>
      </c>
      <c r="E22" s="193" t="s">
        <v>155</v>
      </c>
      <c r="G22" s="539"/>
      <c r="H22"/>
      <c r="I22"/>
      <c r="J22"/>
      <c r="K22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ht="32.25" thickBot="1" x14ac:dyDescent="0.25">
      <c r="A23" s="1"/>
      <c r="B23" s="192" t="s">
        <v>149</v>
      </c>
      <c r="C23" s="193" t="s">
        <v>156</v>
      </c>
      <c r="D23" s="193" t="s">
        <v>157</v>
      </c>
      <c r="E23" s="193"/>
      <c r="G23" s="540" t="s">
        <v>177</v>
      </c>
      <c r="H23" s="541" t="s">
        <v>178</v>
      </c>
      <c r="I23" s="541" t="s">
        <v>179</v>
      </c>
      <c r="J23" s="541" t="s">
        <v>180</v>
      </c>
      <c r="K23" s="542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ht="63.75" thickBot="1" x14ac:dyDescent="0.25">
      <c r="A24" s="1"/>
      <c r="B24" s="745" t="s">
        <v>158</v>
      </c>
      <c r="C24" s="747" t="s">
        <v>159</v>
      </c>
      <c r="D24" s="747" t="s">
        <v>160</v>
      </c>
      <c r="E24" s="747" t="s">
        <v>161</v>
      </c>
      <c r="G24" s="545" t="s">
        <v>182</v>
      </c>
      <c r="H24" s="546" t="s">
        <v>183</v>
      </c>
      <c r="I24" s="546" t="s">
        <v>184</v>
      </c>
      <c r="J24" s="547">
        <v>1425.04</v>
      </c>
      <c r="K24" s="543" t="s">
        <v>181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ht="32.25" thickBot="1" x14ac:dyDescent="0.25">
      <c r="A25" s="1"/>
      <c r="B25" s="746"/>
      <c r="C25" s="748"/>
      <c r="D25" s="748"/>
      <c r="E25" s="748"/>
      <c r="G25" s="545" t="s">
        <v>182</v>
      </c>
      <c r="H25" s="546" t="s">
        <v>183</v>
      </c>
      <c r="I25" s="546" t="s">
        <v>185</v>
      </c>
      <c r="J25" s="547">
        <v>1796.78</v>
      </c>
      <c r="K25" s="544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ht="31.5" customHeight="1" thickBot="1" x14ac:dyDescent="0.25">
      <c r="A26" s="1"/>
      <c r="B26" s="192" t="s">
        <v>162</v>
      </c>
      <c r="C26" s="193"/>
      <c r="D26" s="193"/>
      <c r="E26" s="193" t="s">
        <v>163</v>
      </c>
      <c r="G26" s="739" t="s">
        <v>186</v>
      </c>
      <c r="H26" s="740"/>
      <c r="I26" s="740"/>
      <c r="J26" s="740"/>
      <c r="K26" s="74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7" ht="32.25" customHeight="1" thickBot="1" x14ac:dyDescent="0.25">
      <c r="A27" s="1"/>
      <c r="B27" s="192" t="s">
        <v>164</v>
      </c>
      <c r="C27" s="193" t="s">
        <v>165</v>
      </c>
      <c r="D27" s="193"/>
      <c r="E27" s="193"/>
      <c r="G27" s="545" t="s">
        <v>187</v>
      </c>
      <c r="H27" s="546" t="s">
        <v>188</v>
      </c>
      <c r="I27" s="546" t="s">
        <v>184</v>
      </c>
      <c r="J27" s="547">
        <v>2850.08</v>
      </c>
      <c r="K27" s="754" t="s">
        <v>189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7" ht="32.25" thickBot="1" x14ac:dyDescent="0.25">
      <c r="A28" s="1"/>
      <c r="G28" s="545" t="s">
        <v>187</v>
      </c>
      <c r="H28" s="546" t="s">
        <v>188</v>
      </c>
      <c r="I28" s="546" t="s">
        <v>185</v>
      </c>
      <c r="J28" s="547">
        <v>3593.56</v>
      </c>
      <c r="K28" s="755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 ht="31.5" customHeight="1" thickBot="1" x14ac:dyDescent="0.25">
      <c r="A29" s="1"/>
      <c r="G29" s="739" t="s">
        <v>190</v>
      </c>
      <c r="H29" s="740"/>
      <c r="I29" s="740"/>
      <c r="J29" s="740"/>
      <c r="K29" s="74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 ht="36.75" thickBot="1" x14ac:dyDescent="0.25">
      <c r="A30" s="1"/>
      <c r="B30" s="262" t="s">
        <v>172</v>
      </c>
      <c r="C30" s="259" t="s">
        <v>150</v>
      </c>
      <c r="D30" s="194">
        <v>0.06</v>
      </c>
      <c r="G30" s="743" t="s">
        <v>191</v>
      </c>
      <c r="H30" s="743"/>
      <c r="I30" s="743"/>
      <c r="J30" s="743"/>
      <c r="K30" s="74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1:37" ht="36.75" thickBot="1" x14ac:dyDescent="0.25">
      <c r="A31" s="1"/>
      <c r="B31" s="263" t="s">
        <v>172</v>
      </c>
      <c r="C31" s="260" t="s">
        <v>153</v>
      </c>
      <c r="D31" s="194">
        <v>0.06</v>
      </c>
      <c r="G31" s="744"/>
      <c r="H31" s="744"/>
      <c r="I31" s="744"/>
      <c r="J31" s="744"/>
      <c r="K31" s="744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ht="36.75" thickBot="1" x14ac:dyDescent="0.25">
      <c r="A32" s="1"/>
      <c r="B32" s="263" t="s">
        <v>172</v>
      </c>
      <c r="C32" s="260" t="s">
        <v>156</v>
      </c>
      <c r="D32" s="194">
        <v>0.06</v>
      </c>
      <c r="G32" s="744"/>
      <c r="H32" s="744"/>
      <c r="I32" s="744"/>
      <c r="J32" s="744"/>
      <c r="K32" s="744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41" ht="36.75" thickBot="1" x14ac:dyDescent="0.25">
      <c r="A33" s="1"/>
      <c r="B33" s="263" t="s">
        <v>172</v>
      </c>
      <c r="C33" s="261" t="s">
        <v>151</v>
      </c>
      <c r="D33" s="194">
        <v>0.1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</row>
    <row r="34" spans="1:41" ht="36.75" thickBot="1" x14ac:dyDescent="0.25">
      <c r="B34" s="263" t="s">
        <v>172</v>
      </c>
      <c r="C34" s="261" t="s">
        <v>154</v>
      </c>
      <c r="D34" s="194">
        <v>0.1</v>
      </c>
    </row>
    <row r="35" spans="1:41" ht="36.75" thickBot="1" x14ac:dyDescent="0.25">
      <c r="B35" s="264" t="s">
        <v>172</v>
      </c>
      <c r="C35" s="261" t="s">
        <v>157</v>
      </c>
      <c r="D35" s="194">
        <v>0.1</v>
      </c>
      <c r="G35" s="756"/>
      <c r="H35" s="756"/>
      <c r="I35" s="756"/>
      <c r="J35" s="756"/>
      <c r="K35" s="756"/>
    </row>
    <row r="36" spans="1:41" ht="36.75" thickBot="1" x14ac:dyDescent="0.25">
      <c r="B36" s="264" t="s">
        <v>172</v>
      </c>
      <c r="C36" s="196" t="s">
        <v>152</v>
      </c>
      <c r="D36" s="194">
        <v>0.15</v>
      </c>
      <c r="G36" s="606"/>
      <c r="H36" s="606"/>
      <c r="I36" s="606"/>
      <c r="J36" s="606"/>
      <c r="K36" s="607"/>
    </row>
    <row r="37" spans="1:41" ht="36.75" customHeight="1" thickBot="1" x14ac:dyDescent="0.25">
      <c r="A37" s="43"/>
      <c r="B37" s="265" t="s">
        <v>172</v>
      </c>
      <c r="C37" s="196" t="s">
        <v>155</v>
      </c>
      <c r="D37" s="194">
        <v>0.15</v>
      </c>
      <c r="E37" s="44"/>
      <c r="F37" s="44"/>
      <c r="G37" s="608"/>
      <c r="H37" s="608"/>
      <c r="I37" s="608"/>
      <c r="J37" s="609"/>
      <c r="K37" s="606"/>
      <c r="L37" s="68"/>
      <c r="M37" s="68"/>
      <c r="N37" s="45"/>
      <c r="O37" s="45"/>
      <c r="P37" s="45"/>
      <c r="Q37" s="45"/>
      <c r="R37" s="45"/>
      <c r="S37" s="45"/>
      <c r="T37" s="45"/>
      <c r="U37" s="45"/>
      <c r="V37" s="45"/>
      <c r="W37" s="46"/>
      <c r="X37" s="46"/>
      <c r="Y37" s="45"/>
      <c r="Z37" s="45"/>
      <c r="AA37" s="45"/>
      <c r="AB37" s="47"/>
      <c r="AC37" s="47"/>
      <c r="AD37" s="69"/>
      <c r="AE37" s="45"/>
      <c r="AI37" s="16"/>
      <c r="AJ37" s="17"/>
      <c r="AK37" s="17"/>
      <c r="AO37" s="8"/>
    </row>
    <row r="38" spans="1:41" ht="32.25" customHeight="1" thickBot="1" x14ac:dyDescent="0.25">
      <c r="B38" s="266" t="s">
        <v>173</v>
      </c>
      <c r="C38" s="260" t="s">
        <v>171</v>
      </c>
      <c r="D38" s="194">
        <v>0.06</v>
      </c>
      <c r="G38" s="608"/>
      <c r="H38" s="608"/>
      <c r="I38" s="608"/>
      <c r="J38" s="609"/>
      <c r="K38" s="610"/>
    </row>
    <row r="39" spans="1:41" ht="18.75" customHeight="1" thickBot="1" x14ac:dyDescent="0.25">
      <c r="B39" s="267" t="s">
        <v>173</v>
      </c>
      <c r="C39" s="260" t="s">
        <v>160</v>
      </c>
      <c r="D39" s="194">
        <v>0.1</v>
      </c>
      <c r="G39" s="757"/>
      <c r="H39" s="757"/>
      <c r="I39" s="757"/>
      <c r="J39" s="757"/>
      <c r="K39" s="757"/>
    </row>
    <row r="40" spans="1:41" ht="18.75" customHeight="1" thickBot="1" x14ac:dyDescent="0.25">
      <c r="B40" s="268" t="s">
        <v>173</v>
      </c>
      <c r="C40" s="260" t="s">
        <v>161</v>
      </c>
      <c r="D40" s="194">
        <v>0.15</v>
      </c>
      <c r="G40" s="608"/>
      <c r="H40" s="608"/>
      <c r="I40" s="608"/>
      <c r="J40" s="609"/>
      <c r="K40" s="758"/>
    </row>
    <row r="41" spans="1:41" ht="15.75" x14ac:dyDescent="0.2">
      <c r="G41" s="608"/>
      <c r="H41" s="608"/>
      <c r="I41" s="608"/>
      <c r="J41" s="609"/>
      <c r="K41" s="758"/>
    </row>
    <row r="42" spans="1:41" ht="15.75" x14ac:dyDescent="0.2">
      <c r="G42" s="757"/>
      <c r="H42" s="757"/>
      <c r="I42" s="757"/>
      <c r="J42" s="757"/>
      <c r="K42" s="757"/>
    </row>
    <row r="43" spans="1:41" x14ac:dyDescent="0.2">
      <c r="G43" s="756"/>
      <c r="H43" s="756"/>
      <c r="I43" s="756"/>
      <c r="J43" s="756"/>
      <c r="K43" s="756"/>
    </row>
    <row r="44" spans="1:41" x14ac:dyDescent="0.2">
      <c r="G44" s="756"/>
      <c r="H44" s="756"/>
      <c r="I44" s="756"/>
      <c r="J44" s="756"/>
      <c r="K44" s="756"/>
    </row>
    <row r="45" spans="1:41" x14ac:dyDescent="0.2">
      <c r="G45" s="756"/>
      <c r="H45" s="756"/>
      <c r="I45" s="756"/>
      <c r="J45" s="756"/>
      <c r="K45" s="756"/>
    </row>
    <row r="66" spans="1:37" x14ac:dyDescent="0.2">
      <c r="A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6"/>
      <c r="AJ66" s="17"/>
      <c r="AK66" s="17"/>
    </row>
    <row r="96" spans="1:37" x14ac:dyDescent="0.2">
      <c r="A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6"/>
      <c r="AJ96" s="17"/>
      <c r="AK96" s="17"/>
    </row>
    <row r="174" spans="1:37" s="3" customFormat="1" x14ac:dyDescent="0.2">
      <c r="A174" s="12"/>
      <c r="C174" s="21"/>
      <c r="D174" s="21"/>
      <c r="E174" s="21"/>
      <c r="F174" s="21"/>
      <c r="G174" s="21"/>
      <c r="H174" s="21"/>
      <c r="I174" s="22"/>
      <c r="J174" s="21"/>
      <c r="K174" s="21"/>
      <c r="L174" s="22"/>
      <c r="M174" s="22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</row>
  </sheetData>
  <dataConsolidate/>
  <mergeCells count="23">
    <mergeCell ref="G35:K35"/>
    <mergeCell ref="G39:K39"/>
    <mergeCell ref="K40:K41"/>
    <mergeCell ref="G42:K42"/>
    <mergeCell ref="G43:K45"/>
    <mergeCell ref="M6:M7"/>
    <mergeCell ref="K6:K7"/>
    <mergeCell ref="J6:J7"/>
    <mergeCell ref="G26:K26"/>
    <mergeCell ref="K27:K28"/>
    <mergeCell ref="L6:L7"/>
    <mergeCell ref="G29:K29"/>
    <mergeCell ref="G21:K21"/>
    <mergeCell ref="G30:K32"/>
    <mergeCell ref="B24:B25"/>
    <mergeCell ref="C24:C25"/>
    <mergeCell ref="D24:D25"/>
    <mergeCell ref="E24:E25"/>
    <mergeCell ref="A2:B2"/>
    <mergeCell ref="F6:F7"/>
    <mergeCell ref="G6:G7"/>
    <mergeCell ref="H6:H7"/>
    <mergeCell ref="I6:I7"/>
  </mergeCells>
  <phoneticPr fontId="5" type="noConversion"/>
  <pageMargins left="0.74803149606299213" right="0.74803149606299213" top="0.98425196850393704" bottom="0.98425196850393704" header="0" footer="0"/>
  <pageSetup paperSize="5" scale="67" orientation="landscape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workbookViewId="0">
      <selection activeCell="G22" sqref="G22"/>
    </sheetView>
  </sheetViews>
  <sheetFormatPr baseColWidth="10" defaultRowHeight="12.75" x14ac:dyDescent="0.2"/>
  <sheetData>
    <row r="2" spans="1:3" x14ac:dyDescent="0.2">
      <c r="A2" s="759" t="s">
        <v>126</v>
      </c>
      <c r="B2" s="760"/>
      <c r="C2" s="760"/>
    </row>
    <row r="4" spans="1:3" x14ac:dyDescent="0.2">
      <c r="A4">
        <v>0</v>
      </c>
      <c r="B4">
        <v>0</v>
      </c>
    </row>
    <row r="5" spans="1:3" x14ac:dyDescent="0.2">
      <c r="A5">
        <v>1</v>
      </c>
      <c r="B5" s="6">
        <v>0.3</v>
      </c>
    </row>
    <row r="6" spans="1:3" x14ac:dyDescent="0.2">
      <c r="A6">
        <v>2</v>
      </c>
      <c r="B6" s="6">
        <v>0.3</v>
      </c>
    </row>
    <row r="7" spans="1:3" x14ac:dyDescent="0.2">
      <c r="A7">
        <v>3</v>
      </c>
      <c r="B7" s="6">
        <v>0.3</v>
      </c>
    </row>
    <row r="8" spans="1:3" x14ac:dyDescent="0.2">
      <c r="A8">
        <v>4</v>
      </c>
      <c r="B8" s="6">
        <v>0.4</v>
      </c>
    </row>
    <row r="9" spans="1:3" x14ac:dyDescent="0.2">
      <c r="A9">
        <v>5</v>
      </c>
      <c r="B9" s="6">
        <v>0.4</v>
      </c>
    </row>
    <row r="10" spans="1:3" x14ac:dyDescent="0.2">
      <c r="A10">
        <v>6</v>
      </c>
      <c r="B10" s="6">
        <v>0.4</v>
      </c>
    </row>
    <row r="11" spans="1:3" x14ac:dyDescent="0.2">
      <c r="A11">
        <v>7</v>
      </c>
      <c r="B11" s="6">
        <v>0.5</v>
      </c>
    </row>
    <row r="12" spans="1:3" x14ac:dyDescent="0.2">
      <c r="A12">
        <v>8</v>
      </c>
      <c r="B12" s="6">
        <v>0.5</v>
      </c>
    </row>
    <row r="13" spans="1:3" x14ac:dyDescent="0.2">
      <c r="A13">
        <v>9</v>
      </c>
      <c r="B13" s="6">
        <v>0.5</v>
      </c>
    </row>
    <row r="14" spans="1:3" x14ac:dyDescent="0.2">
      <c r="A14">
        <v>10</v>
      </c>
      <c r="B14" s="6">
        <v>0.6</v>
      </c>
    </row>
    <row r="15" spans="1:3" x14ac:dyDescent="0.2">
      <c r="A15">
        <v>11</v>
      </c>
      <c r="B15" s="6">
        <v>0.6</v>
      </c>
    </row>
    <row r="16" spans="1:3" x14ac:dyDescent="0.2">
      <c r="A16">
        <v>12</v>
      </c>
      <c r="B16" s="6">
        <v>0.7</v>
      </c>
    </row>
    <row r="17" spans="1:2" x14ac:dyDescent="0.2">
      <c r="A17">
        <v>13</v>
      </c>
      <c r="B17" s="6">
        <v>0.7</v>
      </c>
    </row>
    <row r="18" spans="1:2" x14ac:dyDescent="0.2">
      <c r="A18">
        <v>14</v>
      </c>
      <c r="B18" s="6">
        <v>0.8</v>
      </c>
    </row>
    <row r="19" spans="1:2" x14ac:dyDescent="0.2">
      <c r="A19">
        <v>15</v>
      </c>
      <c r="B19" s="6">
        <v>0.8</v>
      </c>
    </row>
    <row r="20" spans="1:2" x14ac:dyDescent="0.2">
      <c r="A20">
        <v>16</v>
      </c>
      <c r="B20" s="6">
        <v>0.9</v>
      </c>
    </row>
    <row r="21" spans="1:2" x14ac:dyDescent="0.2">
      <c r="A21">
        <v>17</v>
      </c>
      <c r="B21" s="6">
        <v>0.9</v>
      </c>
    </row>
    <row r="22" spans="1:2" x14ac:dyDescent="0.2">
      <c r="A22">
        <v>18</v>
      </c>
      <c r="B22" s="6">
        <v>1</v>
      </c>
    </row>
    <row r="23" spans="1:2" x14ac:dyDescent="0.2">
      <c r="A23">
        <v>19</v>
      </c>
      <c r="B23" s="6">
        <v>1</v>
      </c>
    </row>
    <row r="24" spans="1:2" x14ac:dyDescent="0.2">
      <c r="A24">
        <v>20</v>
      </c>
      <c r="B24" s="6">
        <v>1.1000000000000001</v>
      </c>
    </row>
    <row r="25" spans="1:2" x14ac:dyDescent="0.2">
      <c r="A25">
        <v>21</v>
      </c>
      <c r="B25" s="6">
        <v>1.1000000000000001</v>
      </c>
    </row>
    <row r="26" spans="1:2" x14ac:dyDescent="0.2">
      <c r="A26">
        <v>22</v>
      </c>
      <c r="B26" s="6">
        <v>1.2</v>
      </c>
    </row>
    <row r="27" spans="1:2" x14ac:dyDescent="0.2">
      <c r="A27">
        <v>23</v>
      </c>
      <c r="B27" s="6">
        <v>1.2</v>
      </c>
    </row>
    <row r="28" spans="1:2" x14ac:dyDescent="0.2">
      <c r="A28">
        <v>24</v>
      </c>
      <c r="B28" s="6">
        <v>1.2</v>
      </c>
    </row>
    <row r="29" spans="1:2" x14ac:dyDescent="0.2">
      <c r="A29">
        <v>25</v>
      </c>
      <c r="B29" s="6">
        <v>1.2</v>
      </c>
    </row>
    <row r="30" spans="1:2" x14ac:dyDescent="0.2">
      <c r="A30">
        <v>26</v>
      </c>
      <c r="B30" s="6">
        <v>1.2</v>
      </c>
    </row>
    <row r="31" spans="1:2" x14ac:dyDescent="0.2">
      <c r="A31">
        <v>27</v>
      </c>
      <c r="B31" s="6">
        <v>1.2</v>
      </c>
    </row>
    <row r="32" spans="1:2" x14ac:dyDescent="0.2">
      <c r="A32">
        <v>28</v>
      </c>
      <c r="B32" s="6">
        <v>1.2</v>
      </c>
    </row>
    <row r="33" spans="1:2" x14ac:dyDescent="0.2">
      <c r="A33">
        <v>29</v>
      </c>
      <c r="B33" s="6">
        <v>1.2</v>
      </c>
    </row>
    <row r="34" spans="1:2" x14ac:dyDescent="0.2">
      <c r="A34">
        <v>30</v>
      </c>
      <c r="B34" s="6">
        <v>1.2</v>
      </c>
    </row>
    <row r="35" spans="1:2" x14ac:dyDescent="0.2">
      <c r="A35">
        <v>31</v>
      </c>
      <c r="B35" s="6">
        <v>1.2</v>
      </c>
    </row>
    <row r="36" spans="1:2" x14ac:dyDescent="0.2">
      <c r="A36">
        <v>32</v>
      </c>
      <c r="B36" s="6">
        <v>1.2</v>
      </c>
    </row>
    <row r="37" spans="1:2" x14ac:dyDescent="0.2">
      <c r="A37">
        <v>33</v>
      </c>
      <c r="B37" s="6">
        <v>1.2</v>
      </c>
    </row>
    <row r="38" spans="1:2" x14ac:dyDescent="0.2">
      <c r="A38">
        <v>34</v>
      </c>
      <c r="B38" s="6">
        <v>1.2</v>
      </c>
    </row>
    <row r="39" spans="1:2" x14ac:dyDescent="0.2">
      <c r="A39">
        <v>35</v>
      </c>
      <c r="B39" s="6">
        <v>1.2</v>
      </c>
    </row>
  </sheetData>
  <mergeCells count="1">
    <mergeCell ref="A2:C2"/>
  </mergeCells>
  <phoneticPr fontId="8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</vt:i4>
      </vt:variant>
    </vt:vector>
  </HeadingPairs>
  <TitlesOfParts>
    <vt:vector size="9" baseType="lpstr">
      <vt:lpstr>INICIAL</vt:lpstr>
      <vt:lpstr>Hoja1</vt:lpstr>
      <vt:lpstr>PRIMARIA </vt:lpstr>
      <vt:lpstr>ESPECIAL</vt:lpstr>
      <vt:lpstr>SECUNDARIA</vt:lpstr>
      <vt:lpstr>SUPERIOR</vt:lpstr>
      <vt:lpstr>DATOS REFERENCIALES</vt:lpstr>
      <vt:lpstr>TABLA ANTIG.</vt:lpstr>
      <vt:lpstr>HORAS</vt:lpstr>
    </vt:vector>
  </TitlesOfParts>
  <Company>Redes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M. Sirotzky</dc:creator>
  <cp:lastModifiedBy>Jorge</cp:lastModifiedBy>
  <cp:lastPrinted>2015-03-18T12:21:18Z</cp:lastPrinted>
  <dcterms:created xsi:type="dcterms:W3CDTF">2004-08-24T12:38:23Z</dcterms:created>
  <dcterms:modified xsi:type="dcterms:W3CDTF">2019-01-09T18:40:50Z</dcterms:modified>
</cp:coreProperties>
</file>