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rge\Desktop\REDES\"/>
    </mc:Choice>
  </mc:AlternateContent>
  <bookViews>
    <workbookView xWindow="0" yWindow="0" windowWidth="20490" windowHeight="8205" tabRatio="699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REFERENCIALES'!$A$38:$AA$175</definedName>
    <definedName name="HORAS">Hoja1!$A$4:$A$43</definedName>
    <definedName name="OLE_LINK11" localSheetId="5">SUPERIOR!$AE$34</definedName>
  </definedNames>
  <calcPr calcId="162913"/>
</workbook>
</file>

<file path=xl/calcChain.xml><?xml version="1.0" encoding="utf-8"?>
<calcChain xmlns="http://schemas.openxmlformats.org/spreadsheetml/2006/main">
  <c r="S35" i="19" l="1"/>
  <c r="S33" i="19"/>
  <c r="S31" i="19"/>
  <c r="S29" i="19"/>
  <c r="AC11" i="17" l="1"/>
  <c r="AD61" i="18"/>
  <c r="AD62" i="18"/>
  <c r="AC62" i="18"/>
  <c r="AC61" i="18"/>
  <c r="S62" i="18"/>
  <c r="S61" i="18"/>
  <c r="AD60" i="18"/>
  <c r="AD59" i="18"/>
  <c r="AD57" i="18" l="1"/>
  <c r="AD55" i="18"/>
  <c r="AC55" i="18"/>
  <c r="AD46" i="18"/>
  <c r="AD45" i="18"/>
  <c r="AD44" i="18"/>
  <c r="AD43" i="18"/>
  <c r="AD42" i="18"/>
  <c r="AD41" i="18"/>
  <c r="AD40" i="18"/>
  <c r="AD38" i="18"/>
  <c r="AD36" i="18"/>
  <c r="AD14" i="18"/>
  <c r="AD12" i="18"/>
  <c r="AD49" i="18"/>
  <c r="AD48" i="18"/>
  <c r="AD47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1" i="18"/>
  <c r="AD34" i="18"/>
  <c r="AC34" i="18"/>
  <c r="P47" i="18"/>
  <c r="P48" i="18"/>
  <c r="P49" i="18"/>
  <c r="P50" i="18"/>
  <c r="AD42" i="16"/>
  <c r="AD41" i="16"/>
  <c r="AD40" i="16"/>
  <c r="AD39" i="16"/>
  <c r="AD38" i="16"/>
  <c r="AD37" i="16"/>
  <c r="AD36" i="16"/>
  <c r="AD35" i="16"/>
  <c r="AD22" i="16"/>
  <c r="AD34" i="16"/>
  <c r="AD33" i="16"/>
  <c r="AD32" i="16"/>
  <c r="AD31" i="16"/>
  <c r="AD30" i="16"/>
  <c r="AD28" i="16"/>
  <c r="AD27" i="16"/>
  <c r="AD26" i="16"/>
  <c r="AD25" i="16"/>
  <c r="AD24" i="16"/>
  <c r="AD21" i="16"/>
  <c r="AE21" i="16"/>
  <c r="AD19" i="16"/>
  <c r="AD17" i="16"/>
  <c r="AD18" i="15"/>
  <c r="AD19" i="15"/>
  <c r="AD15" i="16"/>
  <c r="AD13" i="16"/>
  <c r="AD11" i="16"/>
  <c r="AD45" i="15"/>
  <c r="AD44" i="15"/>
  <c r="AD42" i="15"/>
  <c r="AD40" i="15"/>
  <c r="AD26" i="15"/>
  <c r="AD33" i="15"/>
  <c r="AD32" i="15"/>
  <c r="AD30" i="15"/>
  <c r="AD28" i="15"/>
  <c r="AD15" i="15"/>
  <c r="AD34" i="15"/>
  <c r="AD17" i="15"/>
  <c r="AD13" i="15"/>
  <c r="AD11" i="15"/>
  <c r="AD33" i="17"/>
  <c r="AD32" i="17"/>
  <c r="AD30" i="17"/>
  <c r="AD28" i="17"/>
  <c r="AD26" i="17"/>
  <c r="AD20" i="17"/>
  <c r="AD19" i="17"/>
  <c r="AD18" i="17"/>
  <c r="AD15" i="17"/>
  <c r="AD13" i="17"/>
  <c r="AD21" i="17"/>
  <c r="AC35" i="19" l="1"/>
  <c r="AC33" i="19"/>
  <c r="AC34" i="19"/>
  <c r="S34" i="19"/>
  <c r="AC31" i="19"/>
  <c r="AC29" i="19"/>
  <c r="AC24" i="19"/>
  <c r="AC23" i="19"/>
  <c r="AC22" i="19"/>
  <c r="AC21" i="19"/>
  <c r="AC20" i="19"/>
  <c r="AC19" i="19"/>
  <c r="AC18" i="19"/>
  <c r="AC17" i="19"/>
  <c r="AC16" i="19"/>
  <c r="AC15" i="19"/>
  <c r="AC13" i="19"/>
  <c r="AC11" i="19"/>
  <c r="S24" i="19"/>
  <c r="S23" i="19"/>
  <c r="S22" i="19"/>
  <c r="S21" i="19"/>
  <c r="S20" i="19"/>
  <c r="S19" i="19"/>
  <c r="S18" i="19"/>
  <c r="S17" i="19"/>
  <c r="S16" i="19"/>
  <c r="S15" i="19"/>
  <c r="S13" i="19"/>
  <c r="S11" i="19"/>
  <c r="H12" i="18"/>
  <c r="S12" i="18"/>
  <c r="S14" i="18"/>
  <c r="AC60" i="18"/>
  <c r="AC59" i="18"/>
  <c r="AC57" i="18"/>
  <c r="AC50" i="18"/>
  <c r="AC49" i="18"/>
  <c r="AC48" i="18"/>
  <c r="AC47" i="18"/>
  <c r="AC46" i="18"/>
  <c r="AC45" i="18"/>
  <c r="AC44" i="18"/>
  <c r="AC43" i="18"/>
  <c r="AC42" i="18"/>
  <c r="AC41" i="18"/>
  <c r="AC40" i="18"/>
  <c r="AC38" i="18"/>
  <c r="AC36" i="18"/>
  <c r="AC29" i="18"/>
  <c r="AC28" i="18"/>
  <c r="AC27" i="18"/>
  <c r="AC26" i="18"/>
  <c r="AC25" i="18"/>
  <c r="AC24" i="18"/>
  <c r="AC23" i="18"/>
  <c r="AC22" i="18"/>
  <c r="AC21" i="18"/>
  <c r="AC20" i="18"/>
  <c r="AC19" i="18"/>
  <c r="AC18" i="18"/>
  <c r="AC17" i="18"/>
  <c r="AC16" i="18"/>
  <c r="AC14" i="18"/>
  <c r="AC12" i="18"/>
  <c r="AC11" i="18"/>
  <c r="S11" i="18"/>
  <c r="S60" i="18"/>
  <c r="S59" i="18"/>
  <c r="S57" i="18"/>
  <c r="S55" i="18"/>
  <c r="S46" i="18"/>
  <c r="S50" i="18"/>
  <c r="S49" i="18"/>
  <c r="S48" i="18"/>
  <c r="S47" i="18"/>
  <c r="S45" i="18"/>
  <c r="S44" i="18"/>
  <c r="S43" i="18"/>
  <c r="S42" i="18"/>
  <c r="S41" i="18"/>
  <c r="S40" i="18"/>
  <c r="S38" i="18"/>
  <c r="S36" i="18"/>
  <c r="S34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AC34" i="16" l="1"/>
  <c r="AC33" i="16"/>
  <c r="AC29" i="16"/>
  <c r="AC28" i="16"/>
  <c r="AC27" i="16"/>
  <c r="AC26" i="16"/>
  <c r="AC25" i="16"/>
  <c r="AC24" i="16"/>
  <c r="AC21" i="16"/>
  <c r="S42" i="16"/>
  <c r="S41" i="16"/>
  <c r="S40" i="16"/>
  <c r="S39" i="16"/>
  <c r="S38" i="16"/>
  <c r="S37" i="16"/>
  <c r="S36" i="16"/>
  <c r="S35" i="16"/>
  <c r="S32" i="16"/>
  <c r="S31" i="16"/>
  <c r="S30" i="16"/>
  <c r="S34" i="16"/>
  <c r="S33" i="16"/>
  <c r="S29" i="16"/>
  <c r="S28" i="16"/>
  <c r="S27" i="16"/>
  <c r="S26" i="16"/>
  <c r="S25" i="16"/>
  <c r="S24" i="16"/>
  <c r="S21" i="16"/>
  <c r="S15" i="16"/>
  <c r="S13" i="16"/>
  <c r="S11" i="16"/>
  <c r="S22" i="16"/>
  <c r="S19" i="16"/>
  <c r="S17" i="16"/>
  <c r="S45" i="15"/>
  <c r="S44" i="15"/>
  <c r="S42" i="15"/>
  <c r="S40" i="15"/>
  <c r="S33" i="15"/>
  <c r="S32" i="15"/>
  <c r="S30" i="15"/>
  <c r="S28" i="15"/>
  <c r="S26" i="15"/>
  <c r="S32" i="17"/>
  <c r="S30" i="17"/>
  <c r="S28" i="17"/>
  <c r="S26" i="17"/>
  <c r="S34" i="15"/>
  <c r="AC20" i="15" l="1"/>
  <c r="AC19" i="15"/>
  <c r="AC18" i="15"/>
  <c r="AC17" i="15"/>
  <c r="C14" i="15"/>
  <c r="S21" i="15"/>
  <c r="S20" i="15"/>
  <c r="S19" i="15"/>
  <c r="S18" i="15"/>
  <c r="S17" i="15"/>
  <c r="S15" i="15"/>
  <c r="S13" i="15"/>
  <c r="S11" i="15"/>
  <c r="S33" i="17"/>
  <c r="AC19" i="17"/>
  <c r="AC18" i="17"/>
  <c r="AC17" i="17"/>
  <c r="S21" i="17"/>
  <c r="S20" i="17"/>
  <c r="S19" i="17"/>
  <c r="S18" i="17"/>
  <c r="S17" i="17"/>
  <c r="S15" i="17"/>
  <c r="S13" i="17"/>
  <c r="S11" i="17"/>
  <c r="C16" i="17"/>
  <c r="D18" i="12" l="1"/>
  <c r="E18" i="12" s="1"/>
  <c r="D17" i="12"/>
  <c r="AC33" i="15" l="1"/>
  <c r="AC32" i="15"/>
  <c r="E17" i="12"/>
  <c r="I32" i="19"/>
  <c r="I30" i="19"/>
  <c r="I14" i="19"/>
  <c r="I12" i="19"/>
  <c r="I58" i="18"/>
  <c r="I56" i="18"/>
  <c r="I39" i="18"/>
  <c r="I37" i="18"/>
  <c r="I35" i="18"/>
  <c r="I15" i="18"/>
  <c r="I13" i="18"/>
  <c r="I23" i="16"/>
  <c r="I20" i="16"/>
  <c r="I18" i="16"/>
  <c r="I16" i="16"/>
  <c r="I14" i="16"/>
  <c r="I12" i="16"/>
  <c r="I43" i="15"/>
  <c r="I41" i="15"/>
  <c r="I31" i="15"/>
  <c r="I29" i="15"/>
  <c r="I27" i="15"/>
  <c r="I16" i="15"/>
  <c r="I14" i="15"/>
  <c r="I12" i="15"/>
  <c r="I31" i="17"/>
  <c r="I29" i="17"/>
  <c r="I27" i="17"/>
  <c r="I16" i="17"/>
  <c r="I14" i="17"/>
  <c r="I12" i="17"/>
  <c r="D16" i="12" l="1"/>
  <c r="D13" i="12"/>
  <c r="D12" i="12"/>
  <c r="D10" i="12"/>
  <c r="D8" i="12"/>
  <c r="E8" i="12" s="1"/>
  <c r="D9" i="12"/>
  <c r="L12" i="17"/>
  <c r="AB28" i="17" l="1"/>
  <c r="AB26" i="17"/>
  <c r="AB30" i="17"/>
  <c r="AB32" i="17"/>
  <c r="AG35" i="19"/>
  <c r="AG22" i="19"/>
  <c r="AG21" i="19"/>
  <c r="AG20" i="19"/>
  <c r="AG17" i="19"/>
  <c r="AG15" i="19"/>
  <c r="AH41" i="18"/>
  <c r="AH20" i="18"/>
  <c r="AH18" i="18"/>
  <c r="AH16" i="18"/>
  <c r="AH34" i="16"/>
  <c r="AH33" i="16"/>
  <c r="AH29" i="16"/>
  <c r="AH28" i="16"/>
  <c r="AH27" i="16"/>
  <c r="AH26" i="16"/>
  <c r="AH25" i="16"/>
  <c r="AH24" i="16"/>
  <c r="AH21" i="16"/>
  <c r="AH33" i="15"/>
  <c r="AH32" i="15"/>
  <c r="AG19" i="17"/>
  <c r="AG18" i="17"/>
  <c r="AG17" i="17"/>
  <c r="AH20" i="15" l="1"/>
  <c r="AH19" i="15"/>
  <c r="AH18" i="15"/>
  <c r="AH17" i="15"/>
  <c r="G16" i="12" l="1"/>
  <c r="E16" i="12"/>
  <c r="E13" i="12"/>
  <c r="E12" i="12"/>
  <c r="E10" i="12"/>
  <c r="E9" i="12"/>
  <c r="AG23" i="19" l="1"/>
  <c r="AH34" i="15" l="1"/>
  <c r="AG21" i="17"/>
  <c r="AH40" i="16"/>
  <c r="AH47" i="18"/>
  <c r="AH21" i="15"/>
  <c r="AH26" i="18"/>
  <c r="AH36" i="16"/>
  <c r="AG33" i="17"/>
  <c r="AH37" i="16"/>
  <c r="AH48" i="18"/>
  <c r="AH38" i="16"/>
  <c r="AH42" i="16"/>
  <c r="AH28" i="18"/>
  <c r="AH49" i="18"/>
  <c r="AH62" i="18"/>
  <c r="AG24" i="19"/>
  <c r="AH41" i="16"/>
  <c r="AH27" i="18"/>
  <c r="AH61" i="18"/>
  <c r="AH45" i="15"/>
  <c r="AH35" i="16"/>
  <c r="AH39" i="16"/>
  <c r="AH25" i="18"/>
  <c r="AH29" i="18"/>
  <c r="AH50" i="18"/>
  <c r="AK35" i="19"/>
  <c r="AL35" i="19" s="1"/>
  <c r="AK34" i="19"/>
  <c r="AL34" i="19" s="1"/>
  <c r="AM34" i="19" s="1"/>
  <c r="AK33" i="19"/>
  <c r="AL33" i="19" s="1"/>
  <c r="AM33" i="19" s="1"/>
  <c r="AK31" i="19"/>
  <c r="AL31" i="19" s="1"/>
  <c r="AM31" i="19" s="1"/>
  <c r="AK29" i="19"/>
  <c r="AL29" i="19" s="1"/>
  <c r="AK15" i="19"/>
  <c r="AL15" i="19" s="1"/>
  <c r="AM15" i="19" s="1"/>
  <c r="AK13" i="19"/>
  <c r="AL13" i="19" s="1"/>
  <c r="AM13" i="19" s="1"/>
  <c r="AK11" i="19"/>
  <c r="AL11" i="19" s="1"/>
  <c r="AK24" i="19"/>
  <c r="AL24" i="19" s="1"/>
  <c r="AM24" i="19" s="1"/>
  <c r="AK23" i="19"/>
  <c r="AL23" i="19" s="1"/>
  <c r="AM23" i="19" s="1"/>
  <c r="AK22" i="19"/>
  <c r="AL22" i="19" s="1"/>
  <c r="AM22" i="19" s="1"/>
  <c r="AK21" i="19"/>
  <c r="AK20" i="19"/>
  <c r="AL20" i="19" s="1"/>
  <c r="AM20" i="19" s="1"/>
  <c r="AK19" i="19"/>
  <c r="AL19" i="19" s="1"/>
  <c r="AM19" i="19" s="1"/>
  <c r="AK18" i="19"/>
  <c r="AL18" i="19" s="1"/>
  <c r="AM18" i="19" s="1"/>
  <c r="AK17" i="19"/>
  <c r="AL17" i="19" s="1"/>
  <c r="AK16" i="19"/>
  <c r="AL16" i="19" s="1"/>
  <c r="AM16" i="19" s="1"/>
  <c r="AL62" i="18"/>
  <c r="AM62" i="18" s="1"/>
  <c r="AN62" i="18" s="1"/>
  <c r="AL61" i="18"/>
  <c r="AM61" i="18" s="1"/>
  <c r="AN61" i="18" s="1"/>
  <c r="AL60" i="18"/>
  <c r="AM60" i="18" s="1"/>
  <c r="AL59" i="18"/>
  <c r="AM59" i="18" s="1"/>
  <c r="AN59" i="18" s="1"/>
  <c r="AL57" i="18"/>
  <c r="AM57" i="18" s="1"/>
  <c r="AN57" i="18" s="1"/>
  <c r="AL55" i="18"/>
  <c r="AM55" i="18" s="1"/>
  <c r="AN55" i="18" s="1"/>
  <c r="AL50" i="18"/>
  <c r="AM50" i="18" s="1"/>
  <c r="AL49" i="18"/>
  <c r="AM49" i="18" s="1"/>
  <c r="AN49" i="18" s="1"/>
  <c r="AL48" i="18"/>
  <c r="AM48" i="18" s="1"/>
  <c r="AN48" i="18" s="1"/>
  <c r="AL47" i="18"/>
  <c r="AM47" i="18" s="1"/>
  <c r="AL46" i="18"/>
  <c r="AM46" i="18" s="1"/>
  <c r="AL45" i="18"/>
  <c r="AM45" i="18" s="1"/>
  <c r="AN45" i="18" s="1"/>
  <c r="AL44" i="18"/>
  <c r="AM44" i="18" s="1"/>
  <c r="AL43" i="18"/>
  <c r="AL42" i="18"/>
  <c r="AM42" i="18" s="1"/>
  <c r="AL41" i="18"/>
  <c r="AL40" i="18"/>
  <c r="AM40" i="18" s="1"/>
  <c r="AN40" i="18" s="1"/>
  <c r="AL38" i="18"/>
  <c r="AM38" i="18" s="1"/>
  <c r="AL36" i="18"/>
  <c r="AM36" i="18" s="1"/>
  <c r="AL34" i="18"/>
  <c r="AM34" i="18" s="1"/>
  <c r="AN34" i="18" s="1"/>
  <c r="AL29" i="18"/>
  <c r="AM29" i="18" s="1"/>
  <c r="AN29" i="18" s="1"/>
  <c r="AL28" i="18"/>
  <c r="AM28" i="18" s="1"/>
  <c r="AN28" i="18" s="1"/>
  <c r="AL27" i="18"/>
  <c r="AM27" i="18" s="1"/>
  <c r="AL26" i="18"/>
  <c r="AM26" i="18" s="1"/>
  <c r="AN26" i="18" s="1"/>
  <c r="AL25" i="18"/>
  <c r="AM25" i="18" s="1"/>
  <c r="AN25" i="18" s="1"/>
  <c r="AL24" i="18"/>
  <c r="AM24" i="18" s="1"/>
  <c r="AN24" i="18" s="1"/>
  <c r="AL23" i="18"/>
  <c r="AM23" i="18" s="1"/>
  <c r="AL22" i="18"/>
  <c r="AM22" i="18" s="1"/>
  <c r="AN22" i="18" s="1"/>
  <c r="AL21" i="18"/>
  <c r="AM21" i="18" s="1"/>
  <c r="AN21" i="18" s="1"/>
  <c r="AL20" i="18"/>
  <c r="AM20" i="18" s="1"/>
  <c r="AN20" i="18" s="1"/>
  <c r="AL19" i="18"/>
  <c r="AM19" i="18" s="1"/>
  <c r="AN19" i="18" s="1"/>
  <c r="AL18" i="18"/>
  <c r="AL17" i="18"/>
  <c r="AM17" i="18" s="1"/>
  <c r="AN17" i="18" s="1"/>
  <c r="AL16" i="18"/>
  <c r="AM16" i="18" s="1"/>
  <c r="AN16" i="18" s="1"/>
  <c r="AL14" i="18"/>
  <c r="AM14" i="18" s="1"/>
  <c r="AN14" i="18" s="1"/>
  <c r="AL12" i="18"/>
  <c r="AM12" i="18" s="1"/>
  <c r="AN12" i="18" s="1"/>
  <c r="AL11" i="18"/>
  <c r="AM11" i="18" s="1"/>
  <c r="AL42" i="16"/>
  <c r="AM42" i="16" s="1"/>
  <c r="AN42" i="16" s="1"/>
  <c r="AL41" i="16"/>
  <c r="AM41" i="16" s="1"/>
  <c r="AN41" i="16" s="1"/>
  <c r="AL40" i="16"/>
  <c r="AM40" i="16" s="1"/>
  <c r="AL39" i="16"/>
  <c r="AM39" i="16" s="1"/>
  <c r="AN39" i="16" s="1"/>
  <c r="AL38" i="16"/>
  <c r="AM38" i="16" s="1"/>
  <c r="AN38" i="16" s="1"/>
  <c r="AL37" i="16"/>
  <c r="AM37" i="16" s="1"/>
  <c r="AN37" i="16" s="1"/>
  <c r="AL36" i="16"/>
  <c r="AL35" i="16"/>
  <c r="AM35" i="16" s="1"/>
  <c r="AN35" i="16" s="1"/>
  <c r="AL34" i="16"/>
  <c r="AM34" i="16" s="1"/>
  <c r="AN34" i="16" s="1"/>
  <c r="AL33" i="16"/>
  <c r="AM33" i="16" s="1"/>
  <c r="AL32" i="16"/>
  <c r="AM32" i="16" s="1"/>
  <c r="AN32" i="16" s="1"/>
  <c r="AL31" i="16"/>
  <c r="AL30" i="16"/>
  <c r="AM30" i="16" s="1"/>
  <c r="AN30" i="16" s="1"/>
  <c r="AL29" i="16"/>
  <c r="AM29" i="16" s="1"/>
  <c r="AL28" i="16"/>
  <c r="AM28" i="16" s="1"/>
  <c r="AN28" i="16" s="1"/>
  <c r="AL27" i="16"/>
  <c r="AL26" i="16"/>
  <c r="AM26" i="16" s="1"/>
  <c r="AN26" i="16" s="1"/>
  <c r="AL25" i="16"/>
  <c r="AM25" i="16" s="1"/>
  <c r="AL24" i="16"/>
  <c r="AM24" i="16" s="1"/>
  <c r="AN24" i="16" s="1"/>
  <c r="AL22" i="16"/>
  <c r="AM22" i="16" s="1"/>
  <c r="AL21" i="16"/>
  <c r="AL19" i="16"/>
  <c r="AM19" i="16" s="1"/>
  <c r="AL17" i="16"/>
  <c r="AM17" i="16" s="1"/>
  <c r="AN17" i="16" s="1"/>
  <c r="AL15" i="16"/>
  <c r="AM15" i="16" s="1"/>
  <c r="AN15" i="16" s="1"/>
  <c r="AL13" i="16"/>
  <c r="AM13" i="16" s="1"/>
  <c r="AL11" i="16"/>
  <c r="AM11" i="16" s="1"/>
  <c r="AN11" i="16" s="1"/>
  <c r="AL45" i="15"/>
  <c r="AM45" i="15" s="1"/>
  <c r="AN45" i="15" s="1"/>
  <c r="AL44" i="15"/>
  <c r="AL42" i="15"/>
  <c r="AM42" i="15" s="1"/>
  <c r="AN42" i="15" s="1"/>
  <c r="AL40" i="15"/>
  <c r="AM40" i="15" s="1"/>
  <c r="AN40" i="15" s="1"/>
  <c r="AL34" i="15"/>
  <c r="AL33" i="15"/>
  <c r="AM33" i="15" s="1"/>
  <c r="AN33" i="15" s="1"/>
  <c r="AL32" i="15"/>
  <c r="AM32" i="15" s="1"/>
  <c r="AN32" i="15" s="1"/>
  <c r="AL30" i="15"/>
  <c r="AM30" i="15" s="1"/>
  <c r="AL28" i="15"/>
  <c r="AM28" i="15" s="1"/>
  <c r="AN28" i="15" s="1"/>
  <c r="AL26" i="15"/>
  <c r="AM26" i="15" s="1"/>
  <c r="AN26" i="15" s="1"/>
  <c r="AL21" i="15"/>
  <c r="AM21" i="15" s="1"/>
  <c r="AN21" i="15" s="1"/>
  <c r="AL20" i="15"/>
  <c r="AM20" i="15" s="1"/>
  <c r="AN20" i="15" s="1"/>
  <c r="AL19" i="15"/>
  <c r="AM19" i="15" s="1"/>
  <c r="AL18" i="15"/>
  <c r="AM18" i="15" s="1"/>
  <c r="AN18" i="15" s="1"/>
  <c r="AL17" i="15"/>
  <c r="AM17" i="15" s="1"/>
  <c r="AL15" i="15"/>
  <c r="AM15" i="15" s="1"/>
  <c r="AN15" i="15" s="1"/>
  <c r="AL13" i="15"/>
  <c r="AM13" i="15" s="1"/>
  <c r="AN13" i="15" s="1"/>
  <c r="AL11" i="15"/>
  <c r="AM11" i="15" s="1"/>
  <c r="AN11" i="15" s="1"/>
  <c r="AK32" i="17"/>
  <c r="AL32" i="17" s="1"/>
  <c r="AM32" i="17" s="1"/>
  <c r="AK30" i="17"/>
  <c r="AL30" i="17" s="1"/>
  <c r="AM30" i="17" s="1"/>
  <c r="AK28" i="17"/>
  <c r="AL28" i="17" s="1"/>
  <c r="AM28" i="17" s="1"/>
  <c r="AK26" i="17"/>
  <c r="AL26" i="17" s="1"/>
  <c r="AM26" i="17" s="1"/>
  <c r="AK33" i="17"/>
  <c r="AK21" i="17"/>
  <c r="AL21" i="17" s="1"/>
  <c r="AM21" i="17" s="1"/>
  <c r="AK20" i="17"/>
  <c r="AL20" i="17" s="1"/>
  <c r="AM20" i="17" s="1"/>
  <c r="AI21" i="17"/>
  <c r="AK19" i="17"/>
  <c r="AL19" i="17" s="1"/>
  <c r="AM19" i="17" s="1"/>
  <c r="AK18" i="17"/>
  <c r="AL18" i="17" s="1"/>
  <c r="AM18" i="17" s="1"/>
  <c r="AK17" i="17"/>
  <c r="AL17" i="17" s="1"/>
  <c r="AM17" i="17" s="1"/>
  <c r="AK15" i="17"/>
  <c r="AL15" i="17" s="1"/>
  <c r="AM15" i="17" s="1"/>
  <c r="AK13" i="17"/>
  <c r="AL13" i="17" s="1"/>
  <c r="AM13" i="17" s="1"/>
  <c r="AK11" i="17"/>
  <c r="AL11" i="17" s="1"/>
  <c r="AM11" i="17" s="1"/>
  <c r="C12" i="17"/>
  <c r="C13" i="18"/>
  <c r="C39" i="18"/>
  <c r="C12" i="19"/>
  <c r="C12" i="15"/>
  <c r="C29" i="17"/>
  <c r="C27" i="17"/>
  <c r="H11" i="17"/>
  <c r="C32" i="19"/>
  <c r="C30" i="19"/>
  <c r="C14" i="19"/>
  <c r="C58" i="18"/>
  <c r="C56" i="18"/>
  <c r="C37" i="18"/>
  <c r="C35" i="18"/>
  <c r="C15" i="18"/>
  <c r="AH12" i="18"/>
  <c r="H14" i="18"/>
  <c r="AH14" i="18" s="1"/>
  <c r="C23" i="16"/>
  <c r="C20" i="16"/>
  <c r="C18" i="16"/>
  <c r="C16" i="16"/>
  <c r="C14" i="16"/>
  <c r="C12" i="16"/>
  <c r="C43" i="15"/>
  <c r="C41" i="15"/>
  <c r="C31" i="15"/>
  <c r="C29" i="15"/>
  <c r="C27" i="15"/>
  <c r="C31" i="17"/>
  <c r="C16" i="15"/>
  <c r="C14" i="17"/>
  <c r="L32" i="19"/>
  <c r="O32" i="19" s="1"/>
  <c r="L30" i="19"/>
  <c r="M14" i="19"/>
  <c r="L14" i="19"/>
  <c r="L12" i="19"/>
  <c r="L35" i="18"/>
  <c r="M58" i="18"/>
  <c r="L58" i="18"/>
  <c r="L56" i="18"/>
  <c r="M39" i="18"/>
  <c r="L39" i="18"/>
  <c r="M37" i="18"/>
  <c r="L37" i="18"/>
  <c r="L15" i="18"/>
  <c r="O15" i="18" s="1"/>
  <c r="L13" i="18"/>
  <c r="L23" i="16"/>
  <c r="R23" i="16" s="1"/>
  <c r="L20" i="16"/>
  <c r="R20" i="16" s="1"/>
  <c r="L18" i="16"/>
  <c r="L16" i="16"/>
  <c r="L14" i="16"/>
  <c r="R14" i="16" s="1"/>
  <c r="L12" i="16"/>
  <c r="L43" i="15"/>
  <c r="L41" i="15"/>
  <c r="L31" i="15"/>
  <c r="O31" i="15" s="1"/>
  <c r="L29" i="15"/>
  <c r="L27" i="15"/>
  <c r="L16" i="15"/>
  <c r="O16" i="15" s="1"/>
  <c r="L14" i="15"/>
  <c r="O14" i="15" s="1"/>
  <c r="L12" i="15"/>
  <c r="L29" i="17"/>
  <c r="O29" i="17" s="1"/>
  <c r="L27" i="17"/>
  <c r="L31" i="17"/>
  <c r="O31" i="17" s="1"/>
  <c r="L16" i="17"/>
  <c r="O16" i="17" s="1"/>
  <c r="L14" i="17"/>
  <c r="O14" i="17" s="1"/>
  <c r="AF32" i="15"/>
  <c r="AI32" i="15" s="1"/>
  <c r="H11" i="19"/>
  <c r="AG11" i="19" s="1"/>
  <c r="P11" i="19"/>
  <c r="Q11" i="19" s="1"/>
  <c r="AB11" i="19"/>
  <c r="AF11" i="19"/>
  <c r="AH11" i="19" s="1"/>
  <c r="AI11" i="19"/>
  <c r="H13" i="19"/>
  <c r="AG13" i="19" s="1"/>
  <c r="P13" i="19"/>
  <c r="Q13" i="19" s="1"/>
  <c r="AB13" i="19"/>
  <c r="AF13" i="19"/>
  <c r="AH13" i="19" s="1"/>
  <c r="AI13" i="19"/>
  <c r="K15" i="19"/>
  <c r="P15" i="19"/>
  <c r="Q15" i="19" s="1"/>
  <c r="AB15" i="19"/>
  <c r="AF15" i="19"/>
  <c r="AH15" i="19" s="1"/>
  <c r="AI15" i="19"/>
  <c r="H16" i="19"/>
  <c r="AG16" i="19" s="1"/>
  <c r="P16" i="19"/>
  <c r="Q16" i="19" s="1"/>
  <c r="AB16" i="19"/>
  <c r="AF16" i="19"/>
  <c r="AH16" i="19" s="1"/>
  <c r="AI16" i="19"/>
  <c r="K17" i="19"/>
  <c r="N17" i="19" s="1"/>
  <c r="P17" i="19"/>
  <c r="Q17" i="19" s="1"/>
  <c r="AB17" i="19"/>
  <c r="AF17" i="19"/>
  <c r="AH17" i="19" s="1"/>
  <c r="AI17" i="19"/>
  <c r="H18" i="19"/>
  <c r="AG18" i="19" s="1"/>
  <c r="P18" i="19"/>
  <c r="Q18" i="19" s="1"/>
  <c r="AB18" i="19"/>
  <c r="AF18" i="19"/>
  <c r="AH18" i="19" s="1"/>
  <c r="AI18" i="19"/>
  <c r="H19" i="19"/>
  <c r="AG19" i="19" s="1"/>
  <c r="P19" i="19"/>
  <c r="Q19" i="19" s="1"/>
  <c r="AB19" i="19"/>
  <c r="AF19" i="19"/>
  <c r="AH19" i="19" s="1"/>
  <c r="AI19" i="19"/>
  <c r="K20" i="19"/>
  <c r="P20" i="19"/>
  <c r="Q20" i="19" s="1"/>
  <c r="AB20" i="19"/>
  <c r="AF20" i="19"/>
  <c r="AH20" i="19" s="1"/>
  <c r="AI20" i="19"/>
  <c r="K21" i="19"/>
  <c r="P21" i="19"/>
  <c r="Q21" i="19" s="1"/>
  <c r="AB21" i="19"/>
  <c r="AF21" i="19"/>
  <c r="AH21" i="19" s="1"/>
  <c r="AI21" i="19"/>
  <c r="K22" i="19"/>
  <c r="O22" i="19" s="1"/>
  <c r="P22" i="19"/>
  <c r="Q22" i="19" s="1"/>
  <c r="AB22" i="19"/>
  <c r="AF22" i="19"/>
  <c r="AH22" i="19" s="1"/>
  <c r="AI22" i="19"/>
  <c r="H23" i="19"/>
  <c r="K23" i="19" s="1"/>
  <c r="P23" i="19"/>
  <c r="Q23" i="19" s="1"/>
  <c r="AB23" i="19"/>
  <c r="AF23" i="19"/>
  <c r="AH23" i="19" s="1"/>
  <c r="AI23" i="19"/>
  <c r="H24" i="19"/>
  <c r="K24" i="19" s="1"/>
  <c r="P24" i="19"/>
  <c r="Q24" i="19" s="1"/>
  <c r="AB24" i="19"/>
  <c r="AF24" i="19"/>
  <c r="AH24" i="19" s="1"/>
  <c r="AI24" i="19"/>
  <c r="H29" i="19"/>
  <c r="AG29" i="19" s="1"/>
  <c r="P29" i="19"/>
  <c r="Q29" i="19" s="1"/>
  <c r="AB29" i="19"/>
  <c r="AF29" i="19"/>
  <c r="AH29" i="19" s="1"/>
  <c r="AI29" i="19"/>
  <c r="H31" i="19"/>
  <c r="AG31" i="19" s="1"/>
  <c r="K31" i="19"/>
  <c r="P31" i="19"/>
  <c r="Q31" i="19" s="1"/>
  <c r="AB31" i="19"/>
  <c r="AF31" i="19"/>
  <c r="AH31" i="19" s="1"/>
  <c r="AI31" i="19"/>
  <c r="H33" i="19"/>
  <c r="AG33" i="19" s="1"/>
  <c r="P33" i="19"/>
  <c r="Q33" i="19" s="1"/>
  <c r="AB33" i="19"/>
  <c r="AF33" i="19"/>
  <c r="AH33" i="19" s="1"/>
  <c r="AI33" i="19"/>
  <c r="H34" i="19"/>
  <c r="AG34" i="19" s="1"/>
  <c r="P34" i="19"/>
  <c r="Q34" i="19" s="1"/>
  <c r="AB34" i="19"/>
  <c r="AF34" i="19"/>
  <c r="AH34" i="19" s="1"/>
  <c r="AI34" i="19"/>
  <c r="K35" i="19"/>
  <c r="N35" i="19" s="1"/>
  <c r="P35" i="19"/>
  <c r="Q35" i="19" s="1"/>
  <c r="AB35" i="19"/>
  <c r="AF35" i="19"/>
  <c r="AH35" i="19" s="1"/>
  <c r="AI35" i="19"/>
  <c r="H11" i="18"/>
  <c r="AH11" i="18" s="1"/>
  <c r="P11" i="18"/>
  <c r="Q11" i="18" s="1"/>
  <c r="AB11" i="18"/>
  <c r="AF11" i="18"/>
  <c r="AI11" i="18" s="1"/>
  <c r="AJ11" i="18"/>
  <c r="P12" i="18"/>
  <c r="Q12" i="18" s="1"/>
  <c r="AB12" i="18"/>
  <c r="AF12" i="18"/>
  <c r="AI12" i="18" s="1"/>
  <c r="AJ12" i="18"/>
  <c r="P14" i="18"/>
  <c r="Q14" i="18" s="1"/>
  <c r="AB14" i="18"/>
  <c r="AF14" i="18"/>
  <c r="AI14" i="18" s="1"/>
  <c r="AJ14" i="18"/>
  <c r="K16" i="18"/>
  <c r="O16" i="18" s="1"/>
  <c r="P16" i="18"/>
  <c r="Q16" i="18" s="1"/>
  <c r="AB16" i="18"/>
  <c r="AF16" i="18"/>
  <c r="AI16" i="18" s="1"/>
  <c r="AJ16" i="18"/>
  <c r="H17" i="18"/>
  <c r="AH17" i="18" s="1"/>
  <c r="P17" i="18"/>
  <c r="Q17" i="18" s="1"/>
  <c r="AB17" i="18"/>
  <c r="AF17" i="18"/>
  <c r="AI17" i="18" s="1"/>
  <c r="AJ17" i="18"/>
  <c r="K18" i="18"/>
  <c r="P18" i="18"/>
  <c r="Q18" i="18" s="1"/>
  <c r="AB18" i="18"/>
  <c r="AF18" i="18"/>
  <c r="AI18" i="18" s="1"/>
  <c r="AJ18" i="18"/>
  <c r="H19" i="18"/>
  <c r="P19" i="18"/>
  <c r="Q19" i="18" s="1"/>
  <c r="AB19" i="18"/>
  <c r="AF19" i="18"/>
  <c r="AI19" i="18" s="1"/>
  <c r="AJ19" i="18"/>
  <c r="K20" i="18"/>
  <c r="N20" i="18" s="1"/>
  <c r="P20" i="18"/>
  <c r="Q20" i="18" s="1"/>
  <c r="AB20" i="18"/>
  <c r="AF20" i="18"/>
  <c r="AI20" i="18" s="1"/>
  <c r="AJ20" i="18"/>
  <c r="H21" i="18"/>
  <c r="AH21" i="18" s="1"/>
  <c r="P21" i="18"/>
  <c r="Q21" i="18" s="1"/>
  <c r="AB21" i="18"/>
  <c r="AF21" i="18"/>
  <c r="AI21" i="18" s="1"/>
  <c r="AJ21" i="18"/>
  <c r="H22" i="18"/>
  <c r="AH22" i="18" s="1"/>
  <c r="P22" i="18"/>
  <c r="Q22" i="18" s="1"/>
  <c r="AB22" i="18"/>
  <c r="AF22" i="18"/>
  <c r="AI22" i="18" s="1"/>
  <c r="AJ22" i="18"/>
  <c r="H23" i="18"/>
  <c r="P23" i="18"/>
  <c r="Q23" i="18" s="1"/>
  <c r="AB23" i="18"/>
  <c r="AF23" i="18"/>
  <c r="AI23" i="18" s="1"/>
  <c r="AJ23" i="18"/>
  <c r="H24" i="18"/>
  <c r="AH24" i="18" s="1"/>
  <c r="P24" i="18"/>
  <c r="Q24" i="18" s="1"/>
  <c r="AB24" i="18"/>
  <c r="AF24" i="18"/>
  <c r="AI24" i="18" s="1"/>
  <c r="AJ24" i="18"/>
  <c r="H25" i="18"/>
  <c r="K25" i="18" s="1"/>
  <c r="N25" i="18" s="1"/>
  <c r="P25" i="18"/>
  <c r="AB25" i="18"/>
  <c r="AF25" i="18"/>
  <c r="AI25" i="18" s="1"/>
  <c r="AJ25" i="18"/>
  <c r="H26" i="18"/>
  <c r="K26" i="18" s="1"/>
  <c r="O26" i="18" s="1"/>
  <c r="P26" i="18"/>
  <c r="Q26" i="18" s="1"/>
  <c r="AB26" i="18"/>
  <c r="AF26" i="18"/>
  <c r="AI26" i="18" s="1"/>
  <c r="AJ26" i="18"/>
  <c r="H27" i="18"/>
  <c r="P27" i="18"/>
  <c r="Q27" i="18" s="1"/>
  <c r="AB27" i="18"/>
  <c r="AF27" i="18"/>
  <c r="AI27" i="18" s="1"/>
  <c r="AJ27" i="18"/>
  <c r="H28" i="18"/>
  <c r="K28" i="18" s="1"/>
  <c r="P28" i="18"/>
  <c r="Q28" i="18" s="1"/>
  <c r="AB28" i="18"/>
  <c r="AF28" i="18"/>
  <c r="AI28" i="18" s="1"/>
  <c r="AJ28" i="18"/>
  <c r="H29" i="18"/>
  <c r="K29" i="18" s="1"/>
  <c r="N29" i="18" s="1"/>
  <c r="P29" i="18"/>
  <c r="Q29" i="18" s="1"/>
  <c r="AB29" i="18"/>
  <c r="AF29" i="18"/>
  <c r="AI29" i="18" s="1"/>
  <c r="AJ29" i="18"/>
  <c r="H34" i="18"/>
  <c r="AH34" i="18" s="1"/>
  <c r="P34" i="18"/>
  <c r="Q34" i="18" s="1"/>
  <c r="AB34" i="18"/>
  <c r="AF34" i="18"/>
  <c r="AI34" i="18" s="1"/>
  <c r="AJ34" i="18"/>
  <c r="H36" i="18"/>
  <c r="AH36" i="18" s="1"/>
  <c r="P36" i="18"/>
  <c r="Q36" i="18" s="1"/>
  <c r="AB36" i="18"/>
  <c r="AF36" i="18"/>
  <c r="AI36" i="18" s="1"/>
  <c r="AJ36" i="18"/>
  <c r="H38" i="18"/>
  <c r="AH38" i="18" s="1"/>
  <c r="P38" i="18"/>
  <c r="Q38" i="18" s="1"/>
  <c r="AB38" i="18"/>
  <c r="AF38" i="18"/>
  <c r="AI38" i="18" s="1"/>
  <c r="AJ38" i="18"/>
  <c r="H40" i="18"/>
  <c r="AH40" i="18" s="1"/>
  <c r="P40" i="18"/>
  <c r="Q40" i="18" s="1"/>
  <c r="AB40" i="18"/>
  <c r="AF40" i="18"/>
  <c r="AI40" i="18" s="1"/>
  <c r="AJ40" i="18"/>
  <c r="K41" i="18"/>
  <c r="N41" i="18" s="1"/>
  <c r="P41" i="18"/>
  <c r="Q41" i="18" s="1"/>
  <c r="AB41" i="18"/>
  <c r="AF41" i="18"/>
  <c r="AI41" i="18" s="1"/>
  <c r="AJ41" i="18"/>
  <c r="H42" i="18"/>
  <c r="AH42" i="18" s="1"/>
  <c r="P42" i="18"/>
  <c r="Q42" i="18" s="1"/>
  <c r="AB42" i="18"/>
  <c r="AF42" i="18"/>
  <c r="AI42" i="18" s="1"/>
  <c r="AJ42" i="18"/>
  <c r="H43" i="18"/>
  <c r="AH43" i="18" s="1"/>
  <c r="P43" i="18"/>
  <c r="AB43" i="18"/>
  <c r="AF43" i="18"/>
  <c r="AI43" i="18" s="1"/>
  <c r="AJ43" i="18"/>
  <c r="H44" i="18"/>
  <c r="P44" i="18"/>
  <c r="Q44" i="18" s="1"/>
  <c r="AB44" i="18"/>
  <c r="AF44" i="18"/>
  <c r="AI44" i="18" s="1"/>
  <c r="AJ44" i="18"/>
  <c r="H45" i="18"/>
  <c r="AH45" i="18" s="1"/>
  <c r="P45" i="18"/>
  <c r="Q45" i="18" s="1"/>
  <c r="AB45" i="18"/>
  <c r="AF45" i="18"/>
  <c r="AI45" i="18" s="1"/>
  <c r="AJ45" i="18"/>
  <c r="H46" i="18"/>
  <c r="AH46" i="18" s="1"/>
  <c r="P46" i="18"/>
  <c r="Q46" i="18" s="1"/>
  <c r="AB46" i="18"/>
  <c r="AF46" i="18"/>
  <c r="AI46" i="18" s="1"/>
  <c r="AJ46" i="18"/>
  <c r="H47" i="18"/>
  <c r="K47" i="18" s="1"/>
  <c r="Q47" i="18"/>
  <c r="AB47" i="18"/>
  <c r="AF47" i="18"/>
  <c r="AI47" i="18" s="1"/>
  <c r="AJ47" i="18"/>
  <c r="H48" i="18"/>
  <c r="K48" i="18" s="1"/>
  <c r="Q48" i="18"/>
  <c r="AB48" i="18"/>
  <c r="AF48" i="18"/>
  <c r="AI48" i="18" s="1"/>
  <c r="AJ48" i="18"/>
  <c r="H49" i="18"/>
  <c r="Q49" i="18"/>
  <c r="AB49" i="18"/>
  <c r="AF49" i="18"/>
  <c r="AI49" i="18" s="1"/>
  <c r="AJ49" i="18"/>
  <c r="H50" i="18"/>
  <c r="K50" i="18" s="1"/>
  <c r="Q50" i="18"/>
  <c r="AB50" i="18"/>
  <c r="AF50" i="18"/>
  <c r="AI50" i="18" s="1"/>
  <c r="AJ50" i="18"/>
  <c r="H55" i="18"/>
  <c r="AH55" i="18" s="1"/>
  <c r="P55" i="18"/>
  <c r="Q55" i="18" s="1"/>
  <c r="AB55" i="18"/>
  <c r="AF55" i="18"/>
  <c r="AI55" i="18" s="1"/>
  <c r="AJ55" i="18"/>
  <c r="H57" i="18"/>
  <c r="AH57" i="18" s="1"/>
  <c r="P57" i="18"/>
  <c r="Q57" i="18" s="1"/>
  <c r="AB57" i="18"/>
  <c r="AF57" i="18"/>
  <c r="AI57" i="18" s="1"/>
  <c r="AJ57" i="18"/>
  <c r="H59" i="18"/>
  <c r="P59" i="18"/>
  <c r="AB59" i="18"/>
  <c r="AF59" i="18"/>
  <c r="AI59" i="18" s="1"/>
  <c r="AJ59" i="18"/>
  <c r="H60" i="18"/>
  <c r="AH60" i="18" s="1"/>
  <c r="P60" i="18"/>
  <c r="Q60" i="18" s="1"/>
  <c r="AB60" i="18"/>
  <c r="AF60" i="18"/>
  <c r="AI60" i="18" s="1"/>
  <c r="AJ60" i="18"/>
  <c r="H61" i="18"/>
  <c r="P61" i="18"/>
  <c r="Q61" i="18" s="1"/>
  <c r="AB61" i="18"/>
  <c r="AF61" i="18"/>
  <c r="AI61" i="18" s="1"/>
  <c r="AJ61" i="18"/>
  <c r="H62" i="18"/>
  <c r="P62" i="18"/>
  <c r="Q62" i="18" s="1"/>
  <c r="AB62" i="18"/>
  <c r="AF62" i="18"/>
  <c r="AI62" i="18" s="1"/>
  <c r="AJ62" i="18"/>
  <c r="H11" i="16"/>
  <c r="P11" i="16"/>
  <c r="Q11" i="16" s="1"/>
  <c r="AB11" i="16"/>
  <c r="AF11" i="16"/>
  <c r="AI11" i="16" s="1"/>
  <c r="AJ11" i="16"/>
  <c r="H13" i="16"/>
  <c r="P13" i="16"/>
  <c r="AB13" i="16"/>
  <c r="AF13" i="16"/>
  <c r="AI13" i="16" s="1"/>
  <c r="AJ13" i="16"/>
  <c r="H15" i="16"/>
  <c r="P15" i="16"/>
  <c r="Q15" i="16" s="1"/>
  <c r="AB15" i="16"/>
  <c r="AF15" i="16"/>
  <c r="AI15" i="16" s="1"/>
  <c r="AJ15" i="16"/>
  <c r="H17" i="16"/>
  <c r="P17" i="16"/>
  <c r="Q17" i="16" s="1"/>
  <c r="AB17" i="16"/>
  <c r="AF17" i="16"/>
  <c r="AI17" i="16" s="1"/>
  <c r="AJ17" i="16"/>
  <c r="H19" i="16"/>
  <c r="P19" i="16"/>
  <c r="AB19" i="16"/>
  <c r="AF19" i="16"/>
  <c r="AI19" i="16" s="1"/>
  <c r="AJ19" i="16"/>
  <c r="P21" i="16"/>
  <c r="Q21" i="16" s="1"/>
  <c r="AB21" i="16"/>
  <c r="AF21" i="16"/>
  <c r="AI21" i="16" s="1"/>
  <c r="AJ21" i="16"/>
  <c r="H22" i="16"/>
  <c r="P22" i="16"/>
  <c r="Q22" i="16" s="1"/>
  <c r="AB22" i="16"/>
  <c r="AF22" i="16"/>
  <c r="AI22" i="16" s="1"/>
  <c r="AJ22" i="16"/>
  <c r="K24" i="16"/>
  <c r="P24" i="16"/>
  <c r="Q24" i="16" s="1"/>
  <c r="AB24" i="16"/>
  <c r="AF24" i="16"/>
  <c r="AI24" i="16" s="1"/>
  <c r="AJ24" i="16"/>
  <c r="K25" i="16"/>
  <c r="O25" i="16" s="1"/>
  <c r="P25" i="16"/>
  <c r="AB25" i="16"/>
  <c r="AF25" i="16"/>
  <c r="AI25" i="16" s="1"/>
  <c r="AJ25" i="16"/>
  <c r="P26" i="16"/>
  <c r="Q26" i="16" s="1"/>
  <c r="AB26" i="16"/>
  <c r="AF26" i="16"/>
  <c r="AI26" i="16" s="1"/>
  <c r="AJ26" i="16"/>
  <c r="K27" i="16"/>
  <c r="P27" i="16"/>
  <c r="Q27" i="16" s="1"/>
  <c r="AB27" i="16"/>
  <c r="AF27" i="16"/>
  <c r="AI27" i="16" s="1"/>
  <c r="AJ27" i="16"/>
  <c r="K28" i="16"/>
  <c r="O28" i="16" s="1"/>
  <c r="P28" i="16"/>
  <c r="AB28" i="16"/>
  <c r="AF28" i="16"/>
  <c r="AI28" i="16" s="1"/>
  <c r="AJ28" i="16"/>
  <c r="K29" i="16"/>
  <c r="O29" i="16" s="1"/>
  <c r="P29" i="16"/>
  <c r="AB29" i="16"/>
  <c r="AF29" i="16"/>
  <c r="AI29" i="16" s="1"/>
  <c r="AJ29" i="16"/>
  <c r="H30" i="16"/>
  <c r="P30" i="16"/>
  <c r="AB30" i="16"/>
  <c r="AF30" i="16"/>
  <c r="AI30" i="16" s="1"/>
  <c r="AJ30" i="16"/>
  <c r="H31" i="16"/>
  <c r="P31" i="16"/>
  <c r="Q31" i="16" s="1"/>
  <c r="AB31" i="16"/>
  <c r="AF31" i="16"/>
  <c r="AI31" i="16" s="1"/>
  <c r="AJ31" i="16"/>
  <c r="H32" i="16"/>
  <c r="P32" i="16"/>
  <c r="Q32" i="16" s="1"/>
  <c r="AB32" i="16"/>
  <c r="AF32" i="16"/>
  <c r="AI32" i="16" s="1"/>
  <c r="AJ32" i="16"/>
  <c r="K33" i="16"/>
  <c r="O33" i="16" s="1"/>
  <c r="P33" i="16"/>
  <c r="AB33" i="16"/>
  <c r="AF33" i="16"/>
  <c r="AI33" i="16" s="1"/>
  <c r="AJ33" i="16"/>
  <c r="P34" i="16"/>
  <c r="Q34" i="16" s="1"/>
  <c r="AB34" i="16"/>
  <c r="AF34" i="16"/>
  <c r="AI34" i="16" s="1"/>
  <c r="AJ34" i="16"/>
  <c r="H35" i="16"/>
  <c r="P35" i="16"/>
  <c r="Q35" i="16" s="1"/>
  <c r="AB35" i="16"/>
  <c r="AF35" i="16"/>
  <c r="AI35" i="16" s="1"/>
  <c r="AJ35" i="16"/>
  <c r="H36" i="16"/>
  <c r="P36" i="16"/>
  <c r="Q36" i="16" s="1"/>
  <c r="AB36" i="16"/>
  <c r="AF36" i="16"/>
  <c r="AI36" i="16" s="1"/>
  <c r="AJ36" i="16"/>
  <c r="H37" i="16"/>
  <c r="P37" i="16"/>
  <c r="Q37" i="16" s="1"/>
  <c r="AB37" i="16"/>
  <c r="AF37" i="16"/>
  <c r="AI37" i="16" s="1"/>
  <c r="AJ37" i="16"/>
  <c r="H38" i="16"/>
  <c r="P38" i="16"/>
  <c r="AB38" i="16"/>
  <c r="AF38" i="16"/>
  <c r="AI38" i="16" s="1"/>
  <c r="AJ38" i="16"/>
  <c r="H39" i="16"/>
  <c r="AC39" i="16" s="1"/>
  <c r="P39" i="16"/>
  <c r="Q39" i="16" s="1"/>
  <c r="AB39" i="16"/>
  <c r="AF39" i="16"/>
  <c r="AI39" i="16" s="1"/>
  <c r="AJ39" i="16"/>
  <c r="H40" i="16"/>
  <c r="P40" i="16"/>
  <c r="AB40" i="16"/>
  <c r="AF40" i="16"/>
  <c r="AI40" i="16" s="1"/>
  <c r="AJ40" i="16"/>
  <c r="H41" i="16"/>
  <c r="P41" i="16"/>
  <c r="Q41" i="16" s="1"/>
  <c r="AB41" i="16"/>
  <c r="AF41" i="16"/>
  <c r="AI41" i="16" s="1"/>
  <c r="AJ41" i="16"/>
  <c r="H42" i="16"/>
  <c r="P42" i="16"/>
  <c r="Q42" i="16" s="1"/>
  <c r="AB42" i="16"/>
  <c r="AF42" i="16"/>
  <c r="AI42" i="16" s="1"/>
  <c r="AJ42" i="16"/>
  <c r="H11" i="15"/>
  <c r="AC11" i="15" s="1"/>
  <c r="P11" i="15"/>
  <c r="Q11" i="15" s="1"/>
  <c r="AB11" i="15"/>
  <c r="AF11" i="15"/>
  <c r="AI11" i="15" s="1"/>
  <c r="AJ11" i="15"/>
  <c r="H13" i="15"/>
  <c r="P13" i="15"/>
  <c r="Q13" i="15" s="1"/>
  <c r="AB13" i="15"/>
  <c r="AF13" i="15"/>
  <c r="AI13" i="15" s="1"/>
  <c r="AJ13" i="15"/>
  <c r="H15" i="15"/>
  <c r="P15" i="15"/>
  <c r="Q15" i="15" s="1"/>
  <c r="AB15" i="15"/>
  <c r="AF15" i="15"/>
  <c r="AI15" i="15" s="1"/>
  <c r="AJ15" i="15"/>
  <c r="K17" i="15"/>
  <c r="O17" i="15" s="1"/>
  <c r="P17" i="15"/>
  <c r="Q17" i="15" s="1"/>
  <c r="AB17" i="15"/>
  <c r="AF17" i="15"/>
  <c r="AI17" i="15" s="1"/>
  <c r="AJ17" i="15"/>
  <c r="P18" i="15"/>
  <c r="Q18" i="15" s="1"/>
  <c r="AB18" i="15"/>
  <c r="AF18" i="15"/>
  <c r="AI18" i="15" s="1"/>
  <c r="AJ18" i="15"/>
  <c r="P19" i="15"/>
  <c r="Q19" i="15" s="1"/>
  <c r="AB19" i="15"/>
  <c r="AF19" i="15"/>
  <c r="AI19" i="15" s="1"/>
  <c r="AJ19" i="15"/>
  <c r="P20" i="15"/>
  <c r="AB20" i="15"/>
  <c r="AF20" i="15"/>
  <c r="AI20" i="15" s="1"/>
  <c r="AJ20" i="15"/>
  <c r="H21" i="15"/>
  <c r="P21" i="15"/>
  <c r="Q21" i="15" s="1"/>
  <c r="AB21" i="15"/>
  <c r="AF21" i="15"/>
  <c r="AI21" i="15" s="1"/>
  <c r="AJ21" i="15"/>
  <c r="H26" i="15"/>
  <c r="P26" i="15"/>
  <c r="Q26" i="15" s="1"/>
  <c r="AB26" i="15"/>
  <c r="AF26" i="15"/>
  <c r="AI26" i="15" s="1"/>
  <c r="AJ26" i="15"/>
  <c r="H28" i="15"/>
  <c r="P28" i="15"/>
  <c r="Q28" i="15" s="1"/>
  <c r="AB28" i="15"/>
  <c r="AF28" i="15"/>
  <c r="AI28" i="15" s="1"/>
  <c r="AJ28" i="15"/>
  <c r="H30" i="15"/>
  <c r="P30" i="15"/>
  <c r="Q30" i="15" s="1"/>
  <c r="AB30" i="15"/>
  <c r="AF30" i="15"/>
  <c r="AI30" i="15" s="1"/>
  <c r="AJ30" i="15"/>
  <c r="P32" i="15"/>
  <c r="AB32" i="15"/>
  <c r="AJ32" i="15"/>
  <c r="P33" i="15"/>
  <c r="Q33" i="15" s="1"/>
  <c r="AB33" i="15"/>
  <c r="AF33" i="15"/>
  <c r="AI33" i="15" s="1"/>
  <c r="AJ33" i="15"/>
  <c r="H34" i="15"/>
  <c r="AC34" i="15" s="1"/>
  <c r="P34" i="15"/>
  <c r="Q34" i="15" s="1"/>
  <c r="AB34" i="15"/>
  <c r="AF34" i="15"/>
  <c r="AI34" i="15" s="1"/>
  <c r="AJ34" i="15"/>
  <c r="H40" i="15"/>
  <c r="K40" i="15"/>
  <c r="N40" i="15" s="1"/>
  <c r="P40" i="15"/>
  <c r="Q40" i="15" s="1"/>
  <c r="AB40" i="15"/>
  <c r="AF40" i="15"/>
  <c r="AI40" i="15" s="1"/>
  <c r="AJ40" i="15"/>
  <c r="H42" i="15"/>
  <c r="P42" i="15"/>
  <c r="Q42" i="15" s="1"/>
  <c r="AB42" i="15"/>
  <c r="AF42" i="15"/>
  <c r="AI42" i="15" s="1"/>
  <c r="AJ42" i="15"/>
  <c r="H44" i="15"/>
  <c r="P44" i="15"/>
  <c r="Q44" i="15" s="1"/>
  <c r="AB44" i="15"/>
  <c r="AF44" i="15"/>
  <c r="AI44" i="15" s="1"/>
  <c r="AJ44" i="15"/>
  <c r="H45" i="15"/>
  <c r="P45" i="15"/>
  <c r="Q45" i="15" s="1"/>
  <c r="AB45" i="15"/>
  <c r="AF45" i="15"/>
  <c r="AI45" i="15" s="1"/>
  <c r="AJ45" i="15"/>
  <c r="P11" i="17"/>
  <c r="Q11" i="17" s="1"/>
  <c r="AB11" i="17"/>
  <c r="AF11" i="17"/>
  <c r="AH11" i="17" s="1"/>
  <c r="AI11" i="17"/>
  <c r="H13" i="17"/>
  <c r="P13" i="17"/>
  <c r="Q13" i="17" s="1"/>
  <c r="AB13" i="17"/>
  <c r="AF13" i="17"/>
  <c r="AH13" i="17" s="1"/>
  <c r="AI13" i="17"/>
  <c r="H15" i="17"/>
  <c r="AC15" i="17" s="1"/>
  <c r="P15" i="17"/>
  <c r="Q15" i="17" s="1"/>
  <c r="AB15" i="17"/>
  <c r="AF15" i="17"/>
  <c r="AH15" i="17" s="1"/>
  <c r="AI15" i="17"/>
  <c r="K17" i="17"/>
  <c r="P17" i="17"/>
  <c r="Q17" i="17" s="1"/>
  <c r="AB17" i="17"/>
  <c r="AF17" i="17"/>
  <c r="AH17" i="17" s="1"/>
  <c r="AI17" i="17"/>
  <c r="K18" i="17"/>
  <c r="P18" i="17"/>
  <c r="AB18" i="17"/>
  <c r="AF18" i="17"/>
  <c r="AH18" i="17" s="1"/>
  <c r="AI18" i="17"/>
  <c r="K19" i="17"/>
  <c r="O19" i="17" s="1"/>
  <c r="P19" i="17"/>
  <c r="Q19" i="17" s="1"/>
  <c r="AB19" i="17"/>
  <c r="AF19" i="17"/>
  <c r="AH19" i="17" s="1"/>
  <c r="AI19" i="17"/>
  <c r="H20" i="17"/>
  <c r="AC20" i="17" s="1"/>
  <c r="P20" i="17"/>
  <c r="Q20" i="17" s="1"/>
  <c r="AB20" i="17"/>
  <c r="AF20" i="17"/>
  <c r="AH20" i="17" s="1"/>
  <c r="AI20" i="17"/>
  <c r="H21" i="17"/>
  <c r="P21" i="17"/>
  <c r="Q21" i="17" s="1"/>
  <c r="AB21" i="17"/>
  <c r="AF21" i="17"/>
  <c r="AH21" i="17" s="1"/>
  <c r="H26" i="17"/>
  <c r="AC26" i="17" s="1"/>
  <c r="P26" i="17"/>
  <c r="Q26" i="17" s="1"/>
  <c r="AF26" i="17"/>
  <c r="AH26" i="17" s="1"/>
  <c r="AI26" i="17"/>
  <c r="H28" i="17"/>
  <c r="AC28" i="17" s="1"/>
  <c r="P28" i="17"/>
  <c r="Q28" i="17" s="1"/>
  <c r="AF28" i="17"/>
  <c r="AH28" i="17" s="1"/>
  <c r="AI28" i="17"/>
  <c r="H30" i="17"/>
  <c r="P30" i="17"/>
  <c r="Q30" i="17" s="1"/>
  <c r="AF30" i="17"/>
  <c r="AH30" i="17" s="1"/>
  <c r="AI30" i="17"/>
  <c r="H32" i="17"/>
  <c r="P32" i="17"/>
  <c r="Q32" i="17" s="1"/>
  <c r="AF32" i="17"/>
  <c r="AH32" i="17" s="1"/>
  <c r="AI32" i="17"/>
  <c r="H33" i="17"/>
  <c r="P33" i="17"/>
  <c r="Q33" i="17" s="1"/>
  <c r="AB33" i="17"/>
  <c r="AF33" i="17"/>
  <c r="AH33" i="17" s="1"/>
  <c r="AI33" i="17"/>
  <c r="K16" i="19"/>
  <c r="K13" i="17"/>
  <c r="N13" i="17" s="1"/>
  <c r="K27" i="18"/>
  <c r="K45" i="18"/>
  <c r="O45" i="18" s="1"/>
  <c r="K43" i="18"/>
  <c r="K55" i="18"/>
  <c r="N55" i="18" s="1"/>
  <c r="K49" i="18"/>
  <c r="K33" i="15"/>
  <c r="N33" i="15" s="1"/>
  <c r="K32" i="15"/>
  <c r="O32" i="15" s="1"/>
  <c r="K26" i="15"/>
  <c r="M27" i="15" s="1"/>
  <c r="K39" i="16"/>
  <c r="N39" i="16" s="1"/>
  <c r="K34" i="16"/>
  <c r="O34" i="16" s="1"/>
  <c r="K26" i="16"/>
  <c r="O26" i="16" s="1"/>
  <c r="K21" i="16"/>
  <c r="N21" i="16" s="1"/>
  <c r="K19" i="16"/>
  <c r="K20" i="15"/>
  <c r="N20" i="15" s="1"/>
  <c r="K19" i="15"/>
  <c r="O19" i="15" s="1"/>
  <c r="K18" i="15"/>
  <c r="N18" i="15" s="1"/>
  <c r="K45" i="15" l="1"/>
  <c r="N45" i="15" s="1"/>
  <c r="AC45" i="15"/>
  <c r="AH44" i="15"/>
  <c r="AC44" i="15"/>
  <c r="AH30" i="15"/>
  <c r="AC30" i="15"/>
  <c r="AH28" i="15"/>
  <c r="AC28" i="15"/>
  <c r="K21" i="15"/>
  <c r="O21" i="15" s="1"/>
  <c r="AC21" i="15"/>
  <c r="AH15" i="15"/>
  <c r="AC15" i="15"/>
  <c r="K41" i="16"/>
  <c r="O41" i="16" s="1"/>
  <c r="AC41" i="16"/>
  <c r="K37" i="16"/>
  <c r="O37" i="16" s="1"/>
  <c r="AC37" i="16"/>
  <c r="K35" i="16"/>
  <c r="AC35" i="16"/>
  <c r="AH32" i="16"/>
  <c r="AC32" i="16"/>
  <c r="AH30" i="16"/>
  <c r="AC30" i="16"/>
  <c r="AH22" i="16"/>
  <c r="AC22" i="16"/>
  <c r="AH17" i="16"/>
  <c r="AC17" i="16"/>
  <c r="AH13" i="16"/>
  <c r="AC13" i="16"/>
  <c r="K11" i="15"/>
  <c r="O11" i="15" s="1"/>
  <c r="K30" i="15"/>
  <c r="N30" i="15" s="1"/>
  <c r="K34" i="15"/>
  <c r="O34" i="15" s="1"/>
  <c r="K18" i="19"/>
  <c r="O18" i="19" s="1"/>
  <c r="K33" i="17"/>
  <c r="AC33" i="17"/>
  <c r="AG32" i="17"/>
  <c r="AC32" i="17"/>
  <c r="AG30" i="17"/>
  <c r="AC30" i="17"/>
  <c r="K21" i="17"/>
  <c r="O21" i="17" s="1"/>
  <c r="AC21" i="17"/>
  <c r="AG13" i="17"/>
  <c r="AC13" i="17"/>
  <c r="K44" i="15"/>
  <c r="K42" i="15"/>
  <c r="AC42" i="15"/>
  <c r="AC40" i="15"/>
  <c r="K28" i="15"/>
  <c r="AH26" i="15"/>
  <c r="AC26" i="15"/>
  <c r="AH13" i="15"/>
  <c r="AC13" i="15"/>
  <c r="K42" i="16"/>
  <c r="O42" i="16" s="1"/>
  <c r="AC42" i="16"/>
  <c r="K40" i="16"/>
  <c r="N40" i="16" s="1"/>
  <c r="AC40" i="16"/>
  <c r="K38" i="16"/>
  <c r="AC38" i="16"/>
  <c r="K36" i="16"/>
  <c r="AC36" i="16"/>
  <c r="AH31" i="16"/>
  <c r="AC31" i="16"/>
  <c r="AH19" i="16"/>
  <c r="AC19" i="16"/>
  <c r="AH15" i="16"/>
  <c r="AC15" i="16"/>
  <c r="AH11" i="16"/>
  <c r="AC11" i="16"/>
  <c r="K34" i="18"/>
  <c r="M35" i="18" s="1"/>
  <c r="K11" i="18"/>
  <c r="K13" i="19"/>
  <c r="N13" i="19" s="1"/>
  <c r="M41" i="15"/>
  <c r="O41" i="15" s="1"/>
  <c r="N28" i="16"/>
  <c r="N11" i="15"/>
  <c r="T11" i="15" s="1"/>
  <c r="K17" i="18"/>
  <c r="O17" i="18" s="1"/>
  <c r="K36" i="18"/>
  <c r="N36" i="18" s="1"/>
  <c r="K29" i="19"/>
  <c r="O29" i="19" s="1"/>
  <c r="K15" i="15"/>
  <c r="N15" i="15" s="1"/>
  <c r="N30" i="19"/>
  <c r="K19" i="19"/>
  <c r="O19" i="19" s="1"/>
  <c r="AH42" i="15"/>
  <c r="AH40" i="15"/>
  <c r="AH11" i="15"/>
  <c r="O40" i="15"/>
  <c r="T40" i="15" s="1"/>
  <c r="K13" i="15"/>
  <c r="N13" i="15" s="1"/>
  <c r="K30" i="17"/>
  <c r="N30" i="17" s="1"/>
  <c r="K11" i="16"/>
  <c r="O11" i="16" s="1"/>
  <c r="K30" i="16"/>
  <c r="R30" i="16" s="1"/>
  <c r="N22" i="19"/>
  <c r="K33" i="19"/>
  <c r="N33" i="19" s="1"/>
  <c r="K42" i="18"/>
  <c r="O42" i="18" s="1"/>
  <c r="K14" i="18"/>
  <c r="N14" i="18" s="1"/>
  <c r="K34" i="19"/>
  <c r="K11" i="19"/>
  <c r="O11" i="19" s="1"/>
  <c r="O47" i="18"/>
  <c r="N47" i="18"/>
  <c r="K46" i="18"/>
  <c r="O46" i="18" s="1"/>
  <c r="K40" i="18"/>
  <c r="O40" i="18" s="1"/>
  <c r="K38" i="18"/>
  <c r="O38" i="18" s="1"/>
  <c r="K59" i="18"/>
  <c r="N59" i="18" s="1"/>
  <c r="AH59" i="18"/>
  <c r="K44" i="18"/>
  <c r="N44" i="18" s="1"/>
  <c r="AH44" i="18"/>
  <c r="K23" i="18"/>
  <c r="O23" i="18" s="1"/>
  <c r="AH23" i="18"/>
  <c r="K19" i="18"/>
  <c r="N19" i="18" s="1"/>
  <c r="AH19" i="18"/>
  <c r="K12" i="18"/>
  <c r="M13" i="18" s="1"/>
  <c r="O13" i="18" s="1"/>
  <c r="K32" i="16"/>
  <c r="O32" i="16" s="1"/>
  <c r="K31" i="16"/>
  <c r="R31" i="16" s="1"/>
  <c r="K22" i="16"/>
  <c r="N22" i="16" s="1"/>
  <c r="K17" i="16"/>
  <c r="O17" i="16" s="1"/>
  <c r="K15" i="16"/>
  <c r="R15" i="16" s="1"/>
  <c r="K13" i="16"/>
  <c r="N13" i="16" s="1"/>
  <c r="N31" i="15"/>
  <c r="T31" i="15" s="1"/>
  <c r="X31" i="15" s="1"/>
  <c r="K28" i="17"/>
  <c r="O28" i="17" s="1"/>
  <c r="AG28" i="17"/>
  <c r="K11" i="17"/>
  <c r="O11" i="17" s="1"/>
  <c r="AG11" i="17"/>
  <c r="K26" i="17"/>
  <c r="N26" i="17" s="1"/>
  <c r="AG26" i="17"/>
  <c r="K20" i="17"/>
  <c r="O20" i="17" s="1"/>
  <c r="AG20" i="17"/>
  <c r="K15" i="17"/>
  <c r="N15" i="17" s="1"/>
  <c r="AG15" i="17"/>
  <c r="K32" i="17"/>
  <c r="N32" i="17" s="1"/>
  <c r="O30" i="15"/>
  <c r="T30" i="15" s="1"/>
  <c r="O26" i="15"/>
  <c r="O33" i="15"/>
  <c r="T33" i="15" s="1"/>
  <c r="N35" i="18"/>
  <c r="N16" i="18"/>
  <c r="T16" i="18" s="1"/>
  <c r="O35" i="19"/>
  <c r="T35" i="19" s="1"/>
  <c r="O41" i="18"/>
  <c r="T41" i="18" s="1"/>
  <c r="Y41" i="18" s="1"/>
  <c r="O34" i="18"/>
  <c r="N15" i="18"/>
  <c r="T15" i="18" s="1"/>
  <c r="V15" i="18" s="1"/>
  <c r="O18" i="15"/>
  <c r="T18" i="15" s="1"/>
  <c r="O13" i="19"/>
  <c r="T13" i="19" s="1"/>
  <c r="N16" i="15"/>
  <c r="T16" i="15" s="1"/>
  <c r="O42" i="15"/>
  <c r="N39" i="18"/>
  <c r="N19" i="15"/>
  <c r="T19" i="15" s="1"/>
  <c r="N17" i="15"/>
  <c r="T17" i="15" s="1"/>
  <c r="O28" i="18"/>
  <c r="N28" i="18"/>
  <c r="N26" i="18"/>
  <c r="T26" i="18" s="1"/>
  <c r="U26" i="18" s="1"/>
  <c r="K57" i="18"/>
  <c r="N34" i="18"/>
  <c r="N45" i="18"/>
  <c r="T45" i="18" s="1"/>
  <c r="K61" i="18"/>
  <c r="N61" i="18" s="1"/>
  <c r="N58" i="18"/>
  <c r="K21" i="18"/>
  <c r="O21" i="18" s="1"/>
  <c r="K60" i="18"/>
  <c r="O60" i="18" s="1"/>
  <c r="K62" i="18"/>
  <c r="O62" i="18" s="1"/>
  <c r="K24" i="18"/>
  <c r="N24" i="18" s="1"/>
  <c r="K22" i="18"/>
  <c r="N22" i="18" s="1"/>
  <c r="N34" i="16"/>
  <c r="N33" i="16"/>
  <c r="N25" i="16"/>
  <c r="N32" i="15"/>
  <c r="O20" i="15"/>
  <c r="R28" i="16"/>
  <c r="AM34" i="15"/>
  <c r="AN34" i="15" s="1"/>
  <c r="AM36" i="16"/>
  <c r="AN36" i="16" s="1"/>
  <c r="AM11" i="19"/>
  <c r="AM21" i="16"/>
  <c r="AN21" i="16" s="1"/>
  <c r="AN25" i="16"/>
  <c r="O14" i="16"/>
  <c r="N19" i="19"/>
  <c r="N29" i="16"/>
  <c r="O40" i="16"/>
  <c r="O20" i="16"/>
  <c r="O29" i="18"/>
  <c r="T29" i="18" s="1"/>
  <c r="N26" i="15"/>
  <c r="N41" i="15"/>
  <c r="T41" i="15" s="1"/>
  <c r="N20" i="16"/>
  <c r="T20" i="16" s="1"/>
  <c r="N16" i="17"/>
  <c r="T16" i="17" s="1"/>
  <c r="N14" i="16"/>
  <c r="N37" i="16"/>
  <c r="O45" i="15"/>
  <c r="T45" i="15" s="1"/>
  <c r="O25" i="18"/>
  <c r="R26" i="16"/>
  <c r="N26" i="16"/>
  <c r="N18" i="19"/>
  <c r="T18" i="19" s="1"/>
  <c r="N29" i="17"/>
  <c r="T29" i="17" s="1"/>
  <c r="R21" i="16"/>
  <c r="O30" i="19"/>
  <c r="N42" i="15"/>
  <c r="N32" i="19"/>
  <c r="T32" i="19" s="1"/>
  <c r="AN13" i="16"/>
  <c r="AN38" i="18"/>
  <c r="AN30" i="15"/>
  <c r="AN27" i="18"/>
  <c r="AM35" i="19"/>
  <c r="AM44" i="15"/>
  <c r="AN44" i="15" s="1"/>
  <c r="AM27" i="16"/>
  <c r="AN27" i="16" s="1"/>
  <c r="AM31" i="16"/>
  <c r="AN31" i="16" s="1"/>
  <c r="AN11" i="18"/>
  <c r="AM43" i="18"/>
  <c r="AN43" i="18" s="1"/>
  <c r="AN19" i="15"/>
  <c r="AN22" i="16"/>
  <c r="AN44" i="18"/>
  <c r="AN29" i="16"/>
  <c r="AN33" i="16"/>
  <c r="AN23" i="18"/>
  <c r="R37" i="16"/>
  <c r="R24" i="16"/>
  <c r="O55" i="18"/>
  <c r="M56" i="18"/>
  <c r="O16" i="19"/>
  <c r="N16" i="19"/>
  <c r="O38" i="16"/>
  <c r="N38" i="16"/>
  <c r="N48" i="18"/>
  <c r="O48" i="18"/>
  <c r="O18" i="18"/>
  <c r="N18" i="18"/>
  <c r="O21" i="19"/>
  <c r="N21" i="19"/>
  <c r="O15" i="19"/>
  <c r="N15" i="19"/>
  <c r="O29" i="15"/>
  <c r="N29" i="15"/>
  <c r="N14" i="15"/>
  <c r="T14" i="15" s="1"/>
  <c r="N27" i="18"/>
  <c r="O27" i="18"/>
  <c r="R35" i="16"/>
  <c r="N35" i="16"/>
  <c r="O20" i="19"/>
  <c r="N20" i="19"/>
  <c r="N37" i="18"/>
  <c r="N41" i="16"/>
  <c r="R41" i="16"/>
  <c r="O43" i="18"/>
  <c r="N43" i="18"/>
  <c r="O13" i="17"/>
  <c r="T13" i="17" s="1"/>
  <c r="O39" i="18"/>
  <c r="R34" i="16"/>
  <c r="O37" i="18"/>
  <c r="N31" i="17"/>
  <c r="T31" i="17" s="1"/>
  <c r="W31" i="17" s="1"/>
  <c r="O35" i="18"/>
  <c r="N27" i="15"/>
  <c r="O27" i="15"/>
  <c r="O17" i="17"/>
  <c r="N17" i="17"/>
  <c r="M27" i="17"/>
  <c r="N27" i="17" s="1"/>
  <c r="N14" i="17"/>
  <c r="T14" i="17" s="1"/>
  <c r="N18" i="17"/>
  <c r="O18" i="17"/>
  <c r="N19" i="17"/>
  <c r="T19" i="17" s="1"/>
  <c r="AM29" i="19"/>
  <c r="AM17" i="19"/>
  <c r="AL21" i="19"/>
  <c r="AM21" i="19" s="1"/>
  <c r="AN60" i="18"/>
  <c r="AN50" i="18"/>
  <c r="AN47" i="18"/>
  <c r="AN42" i="18"/>
  <c r="AN46" i="18"/>
  <c r="AM41" i="18"/>
  <c r="AN41" i="18" s="1"/>
  <c r="AN36" i="18"/>
  <c r="AM18" i="18"/>
  <c r="AN18" i="18" s="1"/>
  <c r="AN40" i="16"/>
  <c r="AN19" i="16"/>
  <c r="AN17" i="15"/>
  <c r="AL33" i="17"/>
  <c r="AM33" i="17" s="1"/>
  <c r="N21" i="17"/>
  <c r="T21" i="17" s="1"/>
  <c r="Q18" i="17"/>
  <c r="N28" i="15"/>
  <c r="O28" i="15"/>
  <c r="Q20" i="15"/>
  <c r="Q38" i="16"/>
  <c r="R38" i="16"/>
  <c r="Q33" i="16"/>
  <c r="R33" i="16"/>
  <c r="R29" i="16"/>
  <c r="Q29" i="16"/>
  <c r="R25" i="16"/>
  <c r="Q25" i="16"/>
  <c r="O24" i="16"/>
  <c r="N24" i="16"/>
  <c r="Q19" i="16"/>
  <c r="R19" i="16"/>
  <c r="O50" i="18"/>
  <c r="Q43" i="18"/>
  <c r="N14" i="19"/>
  <c r="O14" i="19"/>
  <c r="N33" i="17"/>
  <c r="O33" i="17"/>
  <c r="N44" i="15"/>
  <c r="O44" i="15"/>
  <c r="Q32" i="15"/>
  <c r="N42" i="16"/>
  <c r="R42" i="16"/>
  <c r="Q30" i="16"/>
  <c r="Q13" i="16"/>
  <c r="Q59" i="18"/>
  <c r="Q25" i="18"/>
  <c r="O20" i="18"/>
  <c r="T20" i="18" s="1"/>
  <c r="N11" i="18"/>
  <c r="O11" i="18"/>
  <c r="N31" i="19"/>
  <c r="O31" i="19"/>
  <c r="N50" i="18"/>
  <c r="M12" i="15"/>
  <c r="N12" i="15" s="1"/>
  <c r="R39" i="16"/>
  <c r="O39" i="16"/>
  <c r="O49" i="18"/>
  <c r="N49" i="18"/>
  <c r="N24" i="19"/>
  <c r="O24" i="19"/>
  <c r="N19" i="16"/>
  <c r="O19" i="16"/>
  <c r="O23" i="19"/>
  <c r="N23" i="19"/>
  <c r="O43" i="15"/>
  <c r="N43" i="15"/>
  <c r="R16" i="16"/>
  <c r="N16" i="16"/>
  <c r="O16" i="16"/>
  <c r="N23" i="16"/>
  <c r="O23" i="16"/>
  <c r="O21" i="16"/>
  <c r="O58" i="18"/>
  <c r="N34" i="15"/>
  <c r="T34" i="15" s="1"/>
  <c r="Q40" i="16"/>
  <c r="R40" i="16"/>
  <c r="O36" i="16"/>
  <c r="N36" i="16"/>
  <c r="R36" i="16"/>
  <c r="O35" i="16"/>
  <c r="Q28" i="16"/>
  <c r="N27" i="16"/>
  <c r="O27" i="16"/>
  <c r="R27" i="16"/>
  <c r="O17" i="19"/>
  <c r="X35" i="19" l="1"/>
  <c r="T22" i="19"/>
  <c r="U22" i="19" s="1"/>
  <c r="N21" i="15"/>
  <c r="T21" i="15" s="1"/>
  <c r="Y21" i="15" s="1"/>
  <c r="W21" i="17"/>
  <c r="N13" i="18"/>
  <c r="T13" i="18" s="1"/>
  <c r="Y13" i="18" s="1"/>
  <c r="T47" i="18"/>
  <c r="N30" i="16"/>
  <c r="M18" i="16"/>
  <c r="N18" i="16" s="1"/>
  <c r="O15" i="17"/>
  <c r="T15" i="17" s="1"/>
  <c r="O36" i="18"/>
  <c r="T36" i="18" s="1"/>
  <c r="X36" i="18" s="1"/>
  <c r="O24" i="18"/>
  <c r="T24" i="18" s="1"/>
  <c r="U24" i="18" s="1"/>
  <c r="O19" i="18"/>
  <c r="T19" i="18" s="1"/>
  <c r="W19" i="18" s="1"/>
  <c r="M12" i="16"/>
  <c r="R12" i="16" s="1"/>
  <c r="N38" i="18"/>
  <c r="T38" i="18" s="1"/>
  <c r="V38" i="18" s="1"/>
  <c r="R22" i="16"/>
  <c r="O22" i="16"/>
  <c r="T28" i="16"/>
  <c r="T30" i="19"/>
  <c r="U30" i="19" s="1"/>
  <c r="R11" i="16"/>
  <c r="N17" i="18"/>
  <c r="T17" i="18" s="1"/>
  <c r="N11" i="16"/>
  <c r="N42" i="18"/>
  <c r="T42" i="18" s="1"/>
  <c r="U42" i="18" s="1"/>
  <c r="O13" i="16"/>
  <c r="O44" i="18"/>
  <c r="T44" i="18" s="1"/>
  <c r="V44" i="18" s="1"/>
  <c r="N11" i="19"/>
  <c r="T11" i="19" s="1"/>
  <c r="V11" i="19" s="1"/>
  <c r="M12" i="19"/>
  <c r="O12" i="19" s="1"/>
  <c r="O31" i="16"/>
  <c r="O15" i="15"/>
  <c r="T15" i="15" s="1"/>
  <c r="N11" i="17"/>
  <c r="T11" i="17" s="1"/>
  <c r="U47" i="18"/>
  <c r="N31" i="16"/>
  <c r="T31" i="16" s="1"/>
  <c r="O33" i="19"/>
  <c r="T33" i="19" s="1"/>
  <c r="W33" i="19" s="1"/>
  <c r="O13" i="15"/>
  <c r="T13" i="15" s="1"/>
  <c r="R13" i="16"/>
  <c r="N46" i="18"/>
  <c r="T46" i="18" s="1"/>
  <c r="W46" i="18" s="1"/>
  <c r="O30" i="17"/>
  <c r="T30" i="17" s="1"/>
  <c r="N20" i="17"/>
  <c r="T20" i="17" s="1"/>
  <c r="W20" i="17" s="1"/>
  <c r="O30" i="16"/>
  <c r="N40" i="18"/>
  <c r="T40" i="18" s="1"/>
  <c r="V40" i="18" s="1"/>
  <c r="N32" i="16"/>
  <c r="N12" i="18"/>
  <c r="R32" i="16"/>
  <c r="O26" i="17"/>
  <c r="T26" i="17" s="1"/>
  <c r="O59" i="18"/>
  <c r="T59" i="18" s="1"/>
  <c r="U59" i="18" s="1"/>
  <c r="N23" i="18"/>
  <c r="T19" i="19"/>
  <c r="W19" i="19" s="1"/>
  <c r="O34" i="19"/>
  <c r="N34" i="19"/>
  <c r="O12" i="18"/>
  <c r="N28" i="17"/>
  <c r="T28" i="17" s="1"/>
  <c r="N29" i="19"/>
  <c r="T29" i="19" s="1"/>
  <c r="O14" i="18"/>
  <c r="T14" i="18" s="1"/>
  <c r="R17" i="16"/>
  <c r="T26" i="15"/>
  <c r="N17" i="16"/>
  <c r="T37" i="16"/>
  <c r="N15" i="16"/>
  <c r="O15" i="16"/>
  <c r="T39" i="18"/>
  <c r="Y39" i="18" s="1"/>
  <c r="M12" i="17"/>
  <c r="N12" i="17" s="1"/>
  <c r="O32" i="17"/>
  <c r="T32" i="17" s="1"/>
  <c r="T15" i="19"/>
  <c r="T34" i="18"/>
  <c r="V34" i="18" s="1"/>
  <c r="T35" i="18"/>
  <c r="V35" i="18" s="1"/>
  <c r="Y31" i="17"/>
  <c r="N60" i="18"/>
  <c r="T60" i="18" s="1"/>
  <c r="Y60" i="18" s="1"/>
  <c r="T32" i="15"/>
  <c r="T42" i="15"/>
  <c r="U42" i="15" s="1"/>
  <c r="N62" i="18"/>
  <c r="T62" i="18" s="1"/>
  <c r="V62" i="18" s="1"/>
  <c r="V41" i="18"/>
  <c r="T25" i="18"/>
  <c r="Y25" i="18" s="1"/>
  <c r="U31" i="15"/>
  <c r="T16" i="19"/>
  <c r="V16" i="19" s="1"/>
  <c r="T14" i="16"/>
  <c r="U14" i="16" s="1"/>
  <c r="X41" i="18"/>
  <c r="W19" i="17"/>
  <c r="X18" i="19"/>
  <c r="V19" i="15"/>
  <c r="V13" i="19"/>
  <c r="T43" i="15"/>
  <c r="X43" i="15" s="1"/>
  <c r="T39" i="16"/>
  <c r="T50" i="18"/>
  <c r="W41" i="18"/>
  <c r="T20" i="15"/>
  <c r="X13" i="19"/>
  <c r="T34" i="16"/>
  <c r="T27" i="18"/>
  <c r="W27" i="18" s="1"/>
  <c r="T21" i="19"/>
  <c r="Y21" i="19" s="1"/>
  <c r="T55" i="18"/>
  <c r="Y55" i="18" s="1"/>
  <c r="T11" i="18"/>
  <c r="Y11" i="18" s="1"/>
  <c r="V40" i="15"/>
  <c r="V22" i="19"/>
  <c r="N21" i="18"/>
  <c r="O61" i="18"/>
  <c r="T61" i="18" s="1"/>
  <c r="T58" i="18"/>
  <c r="X58" i="18" s="1"/>
  <c r="T28" i="18"/>
  <c r="X28" i="18" s="1"/>
  <c r="O57" i="18"/>
  <c r="N57" i="18"/>
  <c r="O22" i="18"/>
  <c r="T22" i="18" s="1"/>
  <c r="U41" i="18"/>
  <c r="T20" i="19"/>
  <c r="T24" i="16"/>
  <c r="T21" i="16"/>
  <c r="V26" i="18"/>
  <c r="U13" i="19"/>
  <c r="Y22" i="19"/>
  <c r="X19" i="15"/>
  <c r="Y13" i="19"/>
  <c r="T25" i="16"/>
  <c r="X40" i="15"/>
  <c r="U20" i="16"/>
  <c r="V20" i="16"/>
  <c r="U41" i="15"/>
  <c r="Y41" i="15"/>
  <c r="W41" i="15"/>
  <c r="X41" i="15"/>
  <c r="V41" i="15"/>
  <c r="Y45" i="15"/>
  <c r="X45" i="15"/>
  <c r="X31" i="17"/>
  <c r="T26" i="16"/>
  <c r="W15" i="18"/>
  <c r="U31" i="17"/>
  <c r="T41" i="16"/>
  <c r="W13" i="19"/>
  <c r="V31" i="17"/>
  <c r="Y26" i="18"/>
  <c r="T48" i="18"/>
  <c r="U45" i="15"/>
  <c r="W30" i="19"/>
  <c r="T37" i="18"/>
  <c r="V37" i="18" s="1"/>
  <c r="Y15" i="18"/>
  <c r="Y19" i="15"/>
  <c r="W20" i="16"/>
  <c r="V31" i="15"/>
  <c r="X15" i="18"/>
  <c r="W19" i="15"/>
  <c r="X20" i="16"/>
  <c r="Y20" i="16"/>
  <c r="T14" i="19"/>
  <c r="X14" i="19" s="1"/>
  <c r="T29" i="16"/>
  <c r="T33" i="16"/>
  <c r="Y31" i="15"/>
  <c r="T36" i="16"/>
  <c r="T24" i="19"/>
  <c r="W45" i="15"/>
  <c r="U15" i="18"/>
  <c r="U19" i="15"/>
  <c r="W31" i="15"/>
  <c r="T17" i="17"/>
  <c r="T29" i="15"/>
  <c r="X14" i="15"/>
  <c r="U14" i="15"/>
  <c r="Y14" i="15"/>
  <c r="X26" i="18"/>
  <c r="T35" i="16"/>
  <c r="W26" i="18"/>
  <c r="T42" i="16"/>
  <c r="V45" i="15"/>
  <c r="Y18" i="19"/>
  <c r="V18" i="19"/>
  <c r="U21" i="15"/>
  <c r="W21" i="15"/>
  <c r="O56" i="18"/>
  <c r="N56" i="18"/>
  <c r="T38" i="16"/>
  <c r="V35" i="19"/>
  <c r="T40" i="16"/>
  <c r="T49" i="18"/>
  <c r="V14" i="15"/>
  <c r="W14" i="15"/>
  <c r="W18" i="19"/>
  <c r="U18" i="19"/>
  <c r="U40" i="15"/>
  <c r="T18" i="18"/>
  <c r="U35" i="19"/>
  <c r="W35" i="19"/>
  <c r="T28" i="15"/>
  <c r="T31" i="19"/>
  <c r="Y35" i="19"/>
  <c r="T27" i="15"/>
  <c r="X27" i="15" s="1"/>
  <c r="T18" i="17"/>
  <c r="O27" i="17"/>
  <c r="T27" i="17" s="1"/>
  <c r="Y21" i="17"/>
  <c r="X16" i="17"/>
  <c r="W16" i="17"/>
  <c r="U16" i="17"/>
  <c r="V16" i="17"/>
  <c r="Y16" i="17"/>
  <c r="T33" i="17"/>
  <c r="X19" i="17"/>
  <c r="V19" i="17"/>
  <c r="U19" i="17"/>
  <c r="Y19" i="17"/>
  <c r="V21" i="17"/>
  <c r="U21" i="17"/>
  <c r="X21" i="17"/>
  <c r="Y40" i="15"/>
  <c r="W40" i="15"/>
  <c r="W34" i="15"/>
  <c r="X34" i="15"/>
  <c r="U34" i="15"/>
  <c r="Y34" i="15"/>
  <c r="V34" i="15"/>
  <c r="Y32" i="19"/>
  <c r="U32" i="19"/>
  <c r="X32" i="19"/>
  <c r="V32" i="19"/>
  <c r="W32" i="19"/>
  <c r="X18" i="15"/>
  <c r="U18" i="15"/>
  <c r="V18" i="15"/>
  <c r="Y18" i="15"/>
  <c r="W18" i="15"/>
  <c r="T27" i="16"/>
  <c r="T23" i="16"/>
  <c r="T19" i="16"/>
  <c r="Y16" i="18"/>
  <c r="V16" i="18"/>
  <c r="U16" i="18"/>
  <c r="W16" i="18"/>
  <c r="X16" i="18"/>
  <c r="Y28" i="16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O12" i="15"/>
  <c r="T12" i="15" s="1"/>
  <c r="W30" i="15"/>
  <c r="X30" i="15"/>
  <c r="Y30" i="15"/>
  <c r="U30" i="15"/>
  <c r="V30" i="15"/>
  <c r="Y20" i="18"/>
  <c r="U20" i="18"/>
  <c r="V20" i="18"/>
  <c r="X20" i="18"/>
  <c r="W20" i="18"/>
  <c r="X45" i="18"/>
  <c r="W45" i="18"/>
  <c r="U45" i="18"/>
  <c r="V45" i="18"/>
  <c r="Y45" i="18"/>
  <c r="T43" i="18"/>
  <c r="T17" i="19"/>
  <c r="T16" i="16"/>
  <c r="T23" i="19"/>
  <c r="Y11" i="15"/>
  <c r="V11" i="15"/>
  <c r="U11" i="15"/>
  <c r="W11" i="15"/>
  <c r="X11" i="15"/>
  <c r="Y29" i="18"/>
  <c r="W29" i="18"/>
  <c r="V29" i="18"/>
  <c r="U29" i="18"/>
  <c r="X29" i="18"/>
  <c r="Y14" i="17"/>
  <c r="U14" i="17"/>
  <c r="W14" i="17"/>
  <c r="V14" i="17"/>
  <c r="X14" i="17"/>
  <c r="Y13" i="17"/>
  <c r="V13" i="17"/>
  <c r="W13" i="17"/>
  <c r="U13" i="17"/>
  <c r="X13" i="17"/>
  <c r="W29" i="17"/>
  <c r="X29" i="17"/>
  <c r="Y29" i="17"/>
  <c r="V29" i="17"/>
  <c r="U29" i="17"/>
  <c r="T44" i="15"/>
  <c r="X19" i="19" l="1"/>
  <c r="AD35" i="19"/>
  <c r="V30" i="19"/>
  <c r="W29" i="19"/>
  <c r="W22" i="19"/>
  <c r="AD22" i="19" s="1"/>
  <c r="X22" i="19"/>
  <c r="AD18" i="19"/>
  <c r="AD13" i="19"/>
  <c r="Y20" i="19"/>
  <c r="Y15" i="19"/>
  <c r="U11" i="19"/>
  <c r="Y24" i="19"/>
  <c r="X21" i="15"/>
  <c r="Z21" i="15" s="1"/>
  <c r="AD21" i="15" s="1"/>
  <c r="V21" i="15"/>
  <c r="V49" i="18"/>
  <c r="Y48" i="18"/>
  <c r="W50" i="18"/>
  <c r="V47" i="18"/>
  <c r="T21" i="18"/>
  <c r="Y21" i="18" s="1"/>
  <c r="T23" i="18"/>
  <c r="Y23" i="18" s="1"/>
  <c r="V17" i="18"/>
  <c r="Y14" i="18"/>
  <c r="W41" i="16"/>
  <c r="Y24" i="16"/>
  <c r="V34" i="16"/>
  <c r="W20" i="15"/>
  <c r="X37" i="16"/>
  <c r="U15" i="15"/>
  <c r="V42" i="16"/>
  <c r="X35" i="16"/>
  <c r="Y40" i="16"/>
  <c r="W38" i="16"/>
  <c r="X36" i="16"/>
  <c r="W26" i="16"/>
  <c r="U25" i="16"/>
  <c r="X21" i="16"/>
  <c r="V39" i="16"/>
  <c r="Y13" i="15"/>
  <c r="T13" i="16"/>
  <c r="V28" i="16"/>
  <c r="X42" i="15"/>
  <c r="Y32" i="15"/>
  <c r="W26" i="15"/>
  <c r="X13" i="15"/>
  <c r="W32" i="17"/>
  <c r="Y30" i="17"/>
  <c r="W28" i="17"/>
  <c r="U26" i="17"/>
  <c r="Y33" i="17"/>
  <c r="Y32" i="17"/>
  <c r="V32" i="17"/>
  <c r="X11" i="17"/>
  <c r="O18" i="16"/>
  <c r="W15" i="15"/>
  <c r="R18" i="16"/>
  <c r="T18" i="16" s="1"/>
  <c r="U18" i="16" s="1"/>
  <c r="Y17" i="18"/>
  <c r="U36" i="18"/>
  <c r="V36" i="18"/>
  <c r="Y38" i="18"/>
  <c r="W36" i="18"/>
  <c r="V42" i="18"/>
  <c r="X38" i="18"/>
  <c r="U14" i="18"/>
  <c r="X40" i="18"/>
  <c r="V46" i="18"/>
  <c r="X17" i="18"/>
  <c r="Y15" i="15"/>
  <c r="Y33" i="19"/>
  <c r="U30" i="17"/>
  <c r="U17" i="18"/>
  <c r="U11" i="17"/>
  <c r="V15" i="19"/>
  <c r="Y29" i="19"/>
  <c r="U40" i="18"/>
  <c r="Y42" i="15"/>
  <c r="T30" i="16"/>
  <c r="X30" i="16" s="1"/>
  <c r="Y40" i="18"/>
  <c r="X46" i="18"/>
  <c r="Y36" i="18"/>
  <c r="Y47" i="18"/>
  <c r="U35" i="18"/>
  <c r="W40" i="18"/>
  <c r="U46" i="18"/>
  <c r="W42" i="18"/>
  <c r="N12" i="19"/>
  <c r="T12" i="19" s="1"/>
  <c r="X12" i="19" s="1"/>
  <c r="X47" i="18"/>
  <c r="W47" i="18"/>
  <c r="U29" i="19"/>
  <c r="T34" i="19"/>
  <c r="X15" i="19"/>
  <c r="V29" i="19"/>
  <c r="X29" i="19"/>
  <c r="W15" i="19"/>
  <c r="Y30" i="19"/>
  <c r="T11" i="16"/>
  <c r="V13" i="15"/>
  <c r="Y11" i="19"/>
  <c r="X11" i="19"/>
  <c r="U28" i="16"/>
  <c r="W28" i="16"/>
  <c r="W17" i="18"/>
  <c r="X15" i="15"/>
  <c r="Y37" i="16"/>
  <c r="X30" i="17"/>
  <c r="O12" i="16"/>
  <c r="U16" i="19"/>
  <c r="W11" i="19"/>
  <c r="X28" i="16"/>
  <c r="N12" i="16"/>
  <c r="T12" i="16" s="1"/>
  <c r="V12" i="16" s="1"/>
  <c r="V15" i="15"/>
  <c r="U37" i="16"/>
  <c r="T22" i="16"/>
  <c r="X32" i="17"/>
  <c r="T15" i="16"/>
  <c r="Y35" i="18"/>
  <c r="W35" i="18"/>
  <c r="X26" i="15"/>
  <c r="W13" i="15"/>
  <c r="U13" i="15"/>
  <c r="X42" i="18"/>
  <c r="U32" i="17"/>
  <c r="X30" i="19"/>
  <c r="X35" i="18"/>
  <c r="Y42" i="18"/>
  <c r="X32" i="15"/>
  <c r="V23" i="18"/>
  <c r="U38" i="18"/>
  <c r="W38" i="18"/>
  <c r="V11" i="17"/>
  <c r="Y11" i="17"/>
  <c r="X33" i="19"/>
  <c r="V30" i="17"/>
  <c r="W30" i="17"/>
  <c r="X14" i="18"/>
  <c r="V14" i="18"/>
  <c r="W37" i="16"/>
  <c r="W14" i="18"/>
  <c r="U13" i="18"/>
  <c r="Y46" i="18"/>
  <c r="W11" i="17"/>
  <c r="U25" i="18"/>
  <c r="V33" i="19"/>
  <c r="U15" i="19"/>
  <c r="W39" i="18"/>
  <c r="V37" i="16"/>
  <c r="W23" i="18"/>
  <c r="T32" i="16"/>
  <c r="W32" i="16" s="1"/>
  <c r="U33" i="19"/>
  <c r="U39" i="18"/>
  <c r="T17" i="16"/>
  <c r="T12" i="18"/>
  <c r="Y26" i="15"/>
  <c r="V19" i="19"/>
  <c r="Y19" i="19"/>
  <c r="U26" i="15"/>
  <c r="X21" i="19"/>
  <c r="U23" i="18"/>
  <c r="U19" i="19"/>
  <c r="V26" i="15"/>
  <c r="O12" i="17"/>
  <c r="T12" i="17" s="1"/>
  <c r="W12" i="17" s="1"/>
  <c r="X23" i="18"/>
  <c r="X39" i="18"/>
  <c r="V39" i="18"/>
  <c r="Y34" i="18"/>
  <c r="Y62" i="18"/>
  <c r="W14" i="16"/>
  <c r="W34" i="18"/>
  <c r="X34" i="18"/>
  <c r="U34" i="18"/>
  <c r="X24" i="16"/>
  <c r="V42" i="15"/>
  <c r="U19" i="18"/>
  <c r="W42" i="15"/>
  <c r="Y19" i="18"/>
  <c r="W37" i="18"/>
  <c r="Y16" i="19"/>
  <c r="V13" i="18"/>
  <c r="X62" i="18"/>
  <c r="W43" i="15"/>
  <c r="X14" i="16"/>
  <c r="U62" i="18"/>
  <c r="X19" i="18"/>
  <c r="U28" i="18"/>
  <c r="U28" i="17"/>
  <c r="V28" i="18"/>
  <c r="W62" i="18"/>
  <c r="W32" i="15"/>
  <c r="Y24" i="18"/>
  <c r="U34" i="16"/>
  <c r="W11" i="18"/>
  <c r="V24" i="16"/>
  <c r="V19" i="18"/>
  <c r="W21" i="19"/>
  <c r="W60" i="18"/>
  <c r="W24" i="18"/>
  <c r="V11" i="18"/>
  <c r="V28" i="17"/>
  <c r="Y21" i="16"/>
  <c r="V50" i="18"/>
  <c r="X60" i="18"/>
  <c r="U24" i="16"/>
  <c r="Y25" i="16"/>
  <c r="X24" i="18"/>
  <c r="X11" i="18"/>
  <c r="X28" i="17"/>
  <c r="U32" i="15"/>
  <c r="V32" i="15"/>
  <c r="V60" i="18"/>
  <c r="U48" i="18"/>
  <c r="U43" i="15"/>
  <c r="V24" i="18"/>
  <c r="U11" i="18"/>
  <c r="Y28" i="17"/>
  <c r="Y58" i="18"/>
  <c r="Y39" i="16"/>
  <c r="U60" i="18"/>
  <c r="U50" i="18"/>
  <c r="V25" i="18"/>
  <c r="X50" i="18"/>
  <c r="X25" i="18"/>
  <c r="U21" i="19"/>
  <c r="W16" i="19"/>
  <c r="X61" i="18"/>
  <c r="W61" i="18"/>
  <c r="V58" i="18"/>
  <c r="U58" i="18"/>
  <c r="U14" i="19"/>
  <c r="Z41" i="15"/>
  <c r="AA41" i="15" s="1"/>
  <c r="AE41" i="15" s="1"/>
  <c r="Z41" i="18"/>
  <c r="AA41" i="18" s="1"/>
  <c r="Y43" i="15"/>
  <c r="V43" i="15"/>
  <c r="W58" i="18"/>
  <c r="W14" i="19"/>
  <c r="Y14" i="16"/>
  <c r="V14" i="16"/>
  <c r="W20" i="19"/>
  <c r="Z31" i="15"/>
  <c r="AA31" i="15" s="1"/>
  <c r="AE31" i="15" s="1"/>
  <c r="Z15" i="18"/>
  <c r="AA15" i="18" s="1"/>
  <c r="AE15" i="18" s="1"/>
  <c r="Z31" i="17"/>
  <c r="AA31" i="17" s="1"/>
  <c r="AE31" i="17" s="1"/>
  <c r="W13" i="18"/>
  <c r="W36" i="16"/>
  <c r="V59" i="18"/>
  <c r="W25" i="18"/>
  <c r="Y14" i="19"/>
  <c r="V21" i="19"/>
  <c r="X20" i="19"/>
  <c r="X16" i="19"/>
  <c r="Y50" i="18"/>
  <c r="U27" i="18"/>
  <c r="X55" i="18"/>
  <c r="V61" i="18"/>
  <c r="W39" i="16"/>
  <c r="X39" i="16"/>
  <c r="V25" i="16"/>
  <c r="V21" i="16"/>
  <c r="U44" i="18"/>
  <c r="U20" i="19"/>
  <c r="X20" i="17"/>
  <c r="V20" i="19"/>
  <c r="X21" i="18"/>
  <c r="U21" i="18"/>
  <c r="W21" i="18"/>
  <c r="W33" i="16"/>
  <c r="V20" i="15"/>
  <c r="V13" i="16"/>
  <c r="X27" i="18"/>
  <c r="X28" i="15"/>
  <c r="W15" i="17"/>
  <c r="U29" i="16"/>
  <c r="V26" i="16"/>
  <c r="W34" i="16"/>
  <c r="Y20" i="15"/>
  <c r="X13" i="18"/>
  <c r="Y28" i="18"/>
  <c r="V33" i="16"/>
  <c r="Y26" i="16"/>
  <c r="U21" i="16"/>
  <c r="U39" i="16"/>
  <c r="Y29" i="16"/>
  <c r="Y15" i="17"/>
  <c r="V27" i="18"/>
  <c r="Y61" i="18"/>
  <c r="W24" i="16"/>
  <c r="W31" i="19"/>
  <c r="W17" i="17"/>
  <c r="U13" i="16"/>
  <c r="U20" i="15"/>
  <c r="V18" i="17"/>
  <c r="W55" i="18"/>
  <c r="W26" i="17"/>
  <c r="V55" i="18"/>
  <c r="W25" i="16"/>
  <c r="X20" i="15"/>
  <c r="W28" i="18"/>
  <c r="X25" i="16"/>
  <c r="X26" i="16"/>
  <c r="W21" i="16"/>
  <c r="X34" i="16"/>
  <c r="U55" i="18"/>
  <c r="Y34" i="16"/>
  <c r="Y27" i="18"/>
  <c r="U61" i="18"/>
  <c r="Z13" i="19"/>
  <c r="AA13" i="19" s="1"/>
  <c r="T57" i="18"/>
  <c r="X57" i="18" s="1"/>
  <c r="Y44" i="18"/>
  <c r="X37" i="18"/>
  <c r="Y37" i="18"/>
  <c r="U26" i="16"/>
  <c r="Z19" i="15"/>
  <c r="AA19" i="15" s="1"/>
  <c r="V29" i="16"/>
  <c r="W29" i="16"/>
  <c r="X41" i="16"/>
  <c r="U36" i="16"/>
  <c r="V41" i="16"/>
  <c r="X24" i="19"/>
  <c r="Y35" i="16"/>
  <c r="U28" i="15"/>
  <c r="X48" i="18"/>
  <c r="U41" i="16"/>
  <c r="V38" i="16"/>
  <c r="Y59" i="18"/>
  <c r="W59" i="18"/>
  <c r="X59" i="18"/>
  <c r="V15" i="17"/>
  <c r="Y41" i="16"/>
  <c r="X13" i="16"/>
  <c r="V36" i="16"/>
  <c r="Y36" i="16"/>
  <c r="V35" i="16"/>
  <c r="V14" i="19"/>
  <c r="T56" i="18"/>
  <c r="X56" i="18" s="1"/>
  <c r="W44" i="18"/>
  <c r="X44" i="18"/>
  <c r="U37" i="18"/>
  <c r="W48" i="18"/>
  <c r="Z20" i="16"/>
  <c r="AA20" i="16" s="1"/>
  <c r="AE20" i="16" s="1"/>
  <c r="X18" i="17"/>
  <c r="Y31" i="19"/>
  <c r="W13" i="16"/>
  <c r="Y20" i="17"/>
  <c r="V48" i="18"/>
  <c r="W27" i="15"/>
  <c r="U27" i="15"/>
  <c r="Y27" i="15"/>
  <c r="V27" i="15"/>
  <c r="U24" i="19"/>
  <c r="V28" i="15"/>
  <c r="U18" i="17"/>
  <c r="W18" i="17"/>
  <c r="Z19" i="17"/>
  <c r="AA19" i="17" s="1"/>
  <c r="Z14" i="15"/>
  <c r="AA14" i="15" s="1"/>
  <c r="AE14" i="15" s="1"/>
  <c r="Y18" i="17"/>
  <c r="U33" i="16"/>
  <c r="Y33" i="16"/>
  <c r="U40" i="16"/>
  <c r="X29" i="16"/>
  <c r="V24" i="19"/>
  <c r="U31" i="19"/>
  <c r="X15" i="17"/>
  <c r="Y17" i="17"/>
  <c r="U17" i="17"/>
  <c r="X17" i="17"/>
  <c r="Y29" i="15"/>
  <c r="U29" i="15"/>
  <c r="V29" i="15"/>
  <c r="X29" i="15"/>
  <c r="W29" i="15"/>
  <c r="X33" i="16"/>
  <c r="X33" i="17"/>
  <c r="X40" i="16"/>
  <c r="W24" i="19"/>
  <c r="U15" i="17"/>
  <c r="V17" i="17"/>
  <c r="Z45" i="15"/>
  <c r="Z26" i="18"/>
  <c r="U38" i="16"/>
  <c r="Y38" i="16"/>
  <c r="X38" i="16"/>
  <c r="W35" i="16"/>
  <c r="U35" i="16"/>
  <c r="U42" i="16"/>
  <c r="U49" i="18"/>
  <c r="W40" i="16"/>
  <c r="X42" i="16"/>
  <c r="W42" i="16"/>
  <c r="Y42" i="16"/>
  <c r="V40" i="16"/>
  <c r="W28" i="15"/>
  <c r="Y28" i="15"/>
  <c r="V20" i="17"/>
  <c r="U20" i="17"/>
  <c r="Z18" i="19"/>
  <c r="AA18" i="19" s="1"/>
  <c r="Z22" i="19"/>
  <c r="AA22" i="19" s="1"/>
  <c r="X49" i="18"/>
  <c r="X26" i="17"/>
  <c r="Z35" i="19"/>
  <c r="AA35" i="19" s="1"/>
  <c r="AE35" i="19" s="1"/>
  <c r="W49" i="18"/>
  <c r="Y49" i="18"/>
  <c r="X31" i="19"/>
  <c r="V31" i="19"/>
  <c r="Y26" i="17"/>
  <c r="V26" i="17"/>
  <c r="X18" i="18"/>
  <c r="Y18" i="18"/>
  <c r="U18" i="18"/>
  <c r="V18" i="18"/>
  <c r="W18" i="18"/>
  <c r="U27" i="17"/>
  <c r="X27" i="17"/>
  <c r="W27" i="17"/>
  <c r="Y27" i="17"/>
  <c r="V27" i="17"/>
  <c r="W33" i="17"/>
  <c r="U33" i="17"/>
  <c r="Z16" i="17"/>
  <c r="AA16" i="17" s="1"/>
  <c r="AE16" i="17" s="1"/>
  <c r="V33" i="17"/>
  <c r="Z21" i="17"/>
  <c r="Z30" i="15"/>
  <c r="AA30" i="15" s="1"/>
  <c r="Z40" i="15"/>
  <c r="AA40" i="15" s="1"/>
  <c r="X12" i="15"/>
  <c r="U12" i="15"/>
  <c r="V12" i="15"/>
  <c r="W12" i="15"/>
  <c r="Y12" i="15"/>
  <c r="Y16" i="16"/>
  <c r="X16" i="16"/>
  <c r="U16" i="16"/>
  <c r="V16" i="16"/>
  <c r="W16" i="16"/>
  <c r="Z29" i="17"/>
  <c r="AA29" i="17" s="1"/>
  <c r="AE29" i="17" s="1"/>
  <c r="W31" i="16"/>
  <c r="V31" i="16"/>
  <c r="U31" i="16"/>
  <c r="Y31" i="16"/>
  <c r="X31" i="16"/>
  <c r="Z33" i="15"/>
  <c r="AA33" i="15" s="1"/>
  <c r="U27" i="16"/>
  <c r="W27" i="16"/>
  <c r="V27" i="16"/>
  <c r="X27" i="16"/>
  <c r="Y27" i="16"/>
  <c r="Z32" i="19"/>
  <c r="AA32" i="19" s="1"/>
  <c r="AE32" i="19" s="1"/>
  <c r="Z34" i="15"/>
  <c r="V22" i="18"/>
  <c r="X22" i="18"/>
  <c r="Y22" i="18"/>
  <c r="U22" i="18"/>
  <c r="W22" i="18"/>
  <c r="Z13" i="17"/>
  <c r="AA13" i="17" s="1"/>
  <c r="Z29" i="18"/>
  <c r="W17" i="19"/>
  <c r="V17" i="19"/>
  <c r="X17" i="19"/>
  <c r="Y17" i="19"/>
  <c r="U17" i="19"/>
  <c r="U43" i="18"/>
  <c r="X43" i="18"/>
  <c r="Y43" i="18"/>
  <c r="V43" i="18"/>
  <c r="W43" i="18"/>
  <c r="Z16" i="15"/>
  <c r="AA16" i="15" s="1"/>
  <c r="AE16" i="15" s="1"/>
  <c r="Z16" i="18"/>
  <c r="AA16" i="18" s="1"/>
  <c r="X23" i="16"/>
  <c r="U23" i="16"/>
  <c r="W23" i="16"/>
  <c r="V23" i="16"/>
  <c r="Y23" i="16"/>
  <c r="U44" i="15"/>
  <c r="Y44" i="15"/>
  <c r="W44" i="15"/>
  <c r="V44" i="15"/>
  <c r="X44" i="15"/>
  <c r="Z11" i="15"/>
  <c r="AA11" i="15" s="1"/>
  <c r="U23" i="19"/>
  <c r="W23" i="19"/>
  <c r="Y23" i="19"/>
  <c r="X23" i="19"/>
  <c r="V23" i="19"/>
  <c r="Z45" i="18"/>
  <c r="AA45" i="18" s="1"/>
  <c r="Z20" i="18"/>
  <c r="AA20" i="18" s="1"/>
  <c r="Z17" i="15"/>
  <c r="AA17" i="15" s="1"/>
  <c r="V19" i="16"/>
  <c r="W19" i="16"/>
  <c r="U19" i="16"/>
  <c r="X19" i="16"/>
  <c r="Y19" i="16"/>
  <c r="Z18" i="15"/>
  <c r="AA18" i="15" s="1"/>
  <c r="Z14" i="17"/>
  <c r="AA14" i="17" s="1"/>
  <c r="AE14" i="17" s="1"/>
  <c r="Z30" i="19" l="1"/>
  <c r="AA30" i="19" s="1"/>
  <c r="AE30" i="19" s="1"/>
  <c r="AD31" i="19"/>
  <c r="AD29" i="19"/>
  <c r="U34" i="19"/>
  <c r="AD33" i="19"/>
  <c r="AD20" i="19"/>
  <c r="AD17" i="19"/>
  <c r="AD15" i="19"/>
  <c r="AD11" i="19"/>
  <c r="AD21" i="19"/>
  <c r="AD19" i="19"/>
  <c r="AD16" i="19"/>
  <c r="AD29" i="16"/>
  <c r="AD20" i="15"/>
  <c r="AD17" i="17"/>
  <c r="AD11" i="17"/>
  <c r="V34" i="19"/>
  <c r="V21" i="18"/>
  <c r="W12" i="18"/>
  <c r="U17" i="16"/>
  <c r="Y15" i="16"/>
  <c r="V22" i="16"/>
  <c r="Y11" i="16"/>
  <c r="Y13" i="16"/>
  <c r="Z32" i="17"/>
  <c r="AA32" i="17" s="1"/>
  <c r="Z42" i="18"/>
  <c r="AA42" i="18" s="1"/>
  <c r="X34" i="19"/>
  <c r="V18" i="16"/>
  <c r="Y32" i="16"/>
  <c r="Y18" i="16"/>
  <c r="Z47" i="18"/>
  <c r="Y34" i="19"/>
  <c r="W34" i="19"/>
  <c r="X12" i="18"/>
  <c r="X22" i="16"/>
  <c r="Z11" i="19"/>
  <c r="AA11" i="19" s="1"/>
  <c r="Z40" i="18"/>
  <c r="AA40" i="18" s="1"/>
  <c r="Z17" i="18"/>
  <c r="AA17" i="18" s="1"/>
  <c r="Z15" i="19"/>
  <c r="AA15" i="19" s="1"/>
  <c r="Z36" i="18"/>
  <c r="AA36" i="18" s="1"/>
  <c r="AE36" i="18" s="1"/>
  <c r="U22" i="16"/>
  <c r="Z23" i="18"/>
  <c r="AA23" i="18" s="1"/>
  <c r="Z28" i="16"/>
  <c r="AA28" i="16" s="1"/>
  <c r="AE28" i="16" s="1"/>
  <c r="V12" i="18"/>
  <c r="W22" i="16"/>
  <c r="AE19" i="15"/>
  <c r="AK19" i="15" s="1"/>
  <c r="AO19" i="15" s="1"/>
  <c r="Y22" i="16"/>
  <c r="W11" i="16"/>
  <c r="W18" i="16"/>
  <c r="Z18" i="16" s="1"/>
  <c r="AA18" i="16" s="1"/>
  <c r="AE18" i="16" s="1"/>
  <c r="X18" i="16"/>
  <c r="Z37" i="16"/>
  <c r="Z29" i="19"/>
  <c r="AA29" i="19" s="1"/>
  <c r="Y30" i="16"/>
  <c r="Y17" i="16"/>
  <c r="X11" i="16"/>
  <c r="U30" i="16"/>
  <c r="X15" i="16"/>
  <c r="V11" i="16"/>
  <c r="W30" i="16"/>
  <c r="V30" i="16"/>
  <c r="W15" i="16"/>
  <c r="U11" i="16"/>
  <c r="AE32" i="17"/>
  <c r="AJ32" i="17" s="1"/>
  <c r="AN32" i="17" s="1"/>
  <c r="Z11" i="17"/>
  <c r="AA11" i="17" s="1"/>
  <c r="Z15" i="15"/>
  <c r="AA15" i="15" s="1"/>
  <c r="Z14" i="18"/>
  <c r="AA14" i="18" s="1"/>
  <c r="Z26" i="15"/>
  <c r="AA26" i="15" s="1"/>
  <c r="Z33" i="19"/>
  <c r="AA33" i="19" s="1"/>
  <c r="Z35" i="18"/>
  <c r="AA35" i="18" s="1"/>
  <c r="AE35" i="18" s="1"/>
  <c r="Z38" i="18"/>
  <c r="AA38" i="18" s="1"/>
  <c r="Z46" i="18"/>
  <c r="AA46" i="18" s="1"/>
  <c r="V15" i="16"/>
  <c r="V32" i="16"/>
  <c r="X32" i="16"/>
  <c r="Z13" i="15"/>
  <c r="AA13" i="15" s="1"/>
  <c r="U12" i="18"/>
  <c r="U15" i="16"/>
  <c r="Z39" i="18"/>
  <c r="AA39" i="18" s="1"/>
  <c r="AE39" i="18" s="1"/>
  <c r="U32" i="16"/>
  <c r="Z30" i="17"/>
  <c r="AA30" i="17" s="1"/>
  <c r="Y12" i="18"/>
  <c r="Z19" i="19"/>
  <c r="AA19" i="19" s="1"/>
  <c r="X17" i="16"/>
  <c r="V17" i="16"/>
  <c r="W17" i="16"/>
  <c r="W12" i="16"/>
  <c r="U56" i="18"/>
  <c r="Z34" i="18"/>
  <c r="AA34" i="18" s="1"/>
  <c r="Z42" i="15"/>
  <c r="AA42" i="15" s="1"/>
  <c r="X12" i="16"/>
  <c r="U12" i="16"/>
  <c r="Z14" i="16"/>
  <c r="AA14" i="16" s="1"/>
  <c r="AE14" i="16" s="1"/>
  <c r="Z58" i="18"/>
  <c r="AA58" i="18" s="1"/>
  <c r="AE58" i="18" s="1"/>
  <c r="Z43" i="15"/>
  <c r="AA43" i="15" s="1"/>
  <c r="AE43" i="15" s="1"/>
  <c r="Z32" i="15"/>
  <c r="AA32" i="15" s="1"/>
  <c r="Z60" i="18"/>
  <c r="AA60" i="18" s="1"/>
  <c r="Z11" i="18"/>
  <c r="AA11" i="18" s="1"/>
  <c r="Z19" i="18"/>
  <c r="AA19" i="18" s="1"/>
  <c r="Y12" i="19"/>
  <c r="Y12" i="16"/>
  <c r="Z13" i="18"/>
  <c r="AA13" i="18" s="1"/>
  <c r="AE13" i="18" s="1"/>
  <c r="Z62" i="18"/>
  <c r="AA62" i="18" s="1"/>
  <c r="Z28" i="17"/>
  <c r="AA28" i="17" s="1"/>
  <c r="Z24" i="18"/>
  <c r="AA24" i="18" s="1"/>
  <c r="Z61" i="18"/>
  <c r="AA61" i="18" s="1"/>
  <c r="Z55" i="18"/>
  <c r="AA55" i="18" s="1"/>
  <c r="Z24" i="16"/>
  <c r="AA24" i="16" s="1"/>
  <c r="Z14" i="19"/>
  <c r="AA14" i="19" s="1"/>
  <c r="AE14" i="19" s="1"/>
  <c r="Z16" i="19"/>
  <c r="AA16" i="19" s="1"/>
  <c r="AE41" i="18"/>
  <c r="Z50" i="18"/>
  <c r="AD50" i="18" s="1"/>
  <c r="Z28" i="18"/>
  <c r="Z25" i="18"/>
  <c r="AA25" i="18" s="1"/>
  <c r="AE18" i="19"/>
  <c r="Z21" i="16"/>
  <c r="AA21" i="16" s="1"/>
  <c r="Z26" i="16"/>
  <c r="AA26" i="16" s="1"/>
  <c r="Z21" i="19"/>
  <c r="AA21" i="19" s="1"/>
  <c r="Z20" i="15"/>
  <c r="AA20" i="15" s="1"/>
  <c r="Z21" i="18"/>
  <c r="AA21" i="18" s="1"/>
  <c r="V12" i="19"/>
  <c r="Z59" i="18"/>
  <c r="AA59" i="18" s="1"/>
  <c r="AE22" i="19"/>
  <c r="U57" i="18"/>
  <c r="Z27" i="18"/>
  <c r="AA27" i="18" s="1"/>
  <c r="Z39" i="16"/>
  <c r="AE13" i="19"/>
  <c r="Z34" i="16"/>
  <c r="AA34" i="16" s="1"/>
  <c r="Z20" i="19"/>
  <c r="AA20" i="19" s="1"/>
  <c r="Z44" i="18"/>
  <c r="AA44" i="18" s="1"/>
  <c r="Z25" i="16"/>
  <c r="AA25" i="16" s="1"/>
  <c r="W12" i="19"/>
  <c r="Z36" i="16"/>
  <c r="W57" i="18"/>
  <c r="Y57" i="18"/>
  <c r="U12" i="19"/>
  <c r="V56" i="18"/>
  <c r="Z27" i="15"/>
  <c r="AA27" i="15" s="1"/>
  <c r="AE27" i="15" s="1"/>
  <c r="V57" i="18"/>
  <c r="W56" i="18"/>
  <c r="Y56" i="18"/>
  <c r="Z37" i="18"/>
  <c r="AA37" i="18" s="1"/>
  <c r="AE37" i="18" s="1"/>
  <c r="Z48" i="18"/>
  <c r="Z41" i="16"/>
  <c r="Z13" i="16"/>
  <c r="AA13" i="16" s="1"/>
  <c r="AA26" i="18"/>
  <c r="AE26" i="18" s="1"/>
  <c r="Z18" i="17"/>
  <c r="AA18" i="17" s="1"/>
  <c r="AE18" i="15"/>
  <c r="Z28" i="15"/>
  <c r="AA28" i="15" s="1"/>
  <c r="Z24" i="19"/>
  <c r="AE19" i="17"/>
  <c r="AJ19" i="17" s="1"/>
  <c r="Z17" i="17"/>
  <c r="AA17" i="17" s="1"/>
  <c r="AA45" i="15"/>
  <c r="AE45" i="15" s="1"/>
  <c r="Z15" i="17"/>
  <c r="AA15" i="17" s="1"/>
  <c r="Z38" i="16"/>
  <c r="Z29" i="16"/>
  <c r="AA29" i="16" s="1"/>
  <c r="Z40" i="16"/>
  <c r="Z35" i="16"/>
  <c r="Z29" i="15"/>
  <c r="AA29" i="15" s="1"/>
  <c r="AE29" i="15" s="1"/>
  <c r="AE30" i="15"/>
  <c r="Z33" i="16"/>
  <c r="AA33" i="16" s="1"/>
  <c r="AE40" i="15"/>
  <c r="Z42" i="16"/>
  <c r="Z49" i="18"/>
  <c r="AE20" i="18"/>
  <c r="Z31" i="19"/>
  <c r="AA31" i="19" s="1"/>
  <c r="Z20" i="17"/>
  <c r="AA20" i="17" s="1"/>
  <c r="AE16" i="18"/>
  <c r="Z18" i="18"/>
  <c r="AA18" i="18" s="1"/>
  <c r="AA21" i="15"/>
  <c r="Z26" i="17"/>
  <c r="AA26" i="17" s="1"/>
  <c r="Z33" i="17"/>
  <c r="Z23" i="16"/>
  <c r="AA23" i="16" s="1"/>
  <c r="AE23" i="16" s="1"/>
  <c r="Z27" i="17"/>
  <c r="AA27" i="17" s="1"/>
  <c r="AE27" i="17" s="1"/>
  <c r="V12" i="17"/>
  <c r="X12" i="17"/>
  <c r="U12" i="17"/>
  <c r="Y12" i="17"/>
  <c r="AA21" i="17"/>
  <c r="AE21" i="17" s="1"/>
  <c r="AJ21" i="17" s="1"/>
  <c r="AE13" i="17"/>
  <c r="AJ13" i="17" s="1"/>
  <c r="AE17" i="15"/>
  <c r="AE11" i="15"/>
  <c r="AE33" i="15"/>
  <c r="Z19" i="16"/>
  <c r="AA19" i="16" s="1"/>
  <c r="Z43" i="18"/>
  <c r="AA43" i="18" s="1"/>
  <c r="Z12" i="15"/>
  <c r="AA12" i="15" s="1"/>
  <c r="AE12" i="15" s="1"/>
  <c r="Z17" i="19"/>
  <c r="AA17" i="19" s="1"/>
  <c r="AA34" i="15"/>
  <c r="Z22" i="18"/>
  <c r="AA22" i="18" s="1"/>
  <c r="AE45" i="18"/>
  <c r="Z23" i="19"/>
  <c r="AD23" i="19" s="1"/>
  <c r="Z44" i="15"/>
  <c r="AA44" i="15" s="1"/>
  <c r="AA29" i="18"/>
  <c r="Z27" i="16"/>
  <c r="AA27" i="16" s="1"/>
  <c r="Z31" i="16"/>
  <c r="AA31" i="16" s="1"/>
  <c r="Z16" i="16"/>
  <c r="AA16" i="16" s="1"/>
  <c r="AE16" i="16" s="1"/>
  <c r="AE11" i="19" l="1"/>
  <c r="AD34" i="19"/>
  <c r="AA24" i="19"/>
  <c r="AD24" i="19"/>
  <c r="AA49" i="18"/>
  <c r="AA50" i="18"/>
  <c r="AE50" i="18" s="1"/>
  <c r="AA47" i="18"/>
  <c r="AE47" i="18"/>
  <c r="AK47" i="18" s="1"/>
  <c r="AO47" i="18" s="1"/>
  <c r="AE19" i="18"/>
  <c r="AK19" i="18" s="1"/>
  <c r="AO19" i="18" s="1"/>
  <c r="AE42" i="18"/>
  <c r="AA42" i="16"/>
  <c r="AE42" i="16" s="1"/>
  <c r="AA40" i="16"/>
  <c r="AA38" i="16"/>
  <c r="AA41" i="16"/>
  <c r="AE41" i="16" s="1"/>
  <c r="AA39" i="16"/>
  <c r="AA37" i="16"/>
  <c r="AE37" i="16"/>
  <c r="AK37" i="16" s="1"/>
  <c r="AO37" i="16" s="1"/>
  <c r="AE13" i="15"/>
  <c r="AK13" i="15" s="1"/>
  <c r="AO13" i="15" s="1"/>
  <c r="AE15" i="15"/>
  <c r="AK15" i="15" s="1"/>
  <c r="AO15" i="15" s="1"/>
  <c r="AA33" i="17"/>
  <c r="Z34" i="19"/>
  <c r="AA34" i="19" s="1"/>
  <c r="AE40" i="18"/>
  <c r="AK40" i="18" s="1"/>
  <c r="AO40" i="18" s="1"/>
  <c r="AE33" i="19"/>
  <c r="AJ33" i="19" s="1"/>
  <c r="AN33" i="19" s="1"/>
  <c r="Z11" i="16"/>
  <c r="AA11" i="16" s="1"/>
  <c r="AE29" i="19"/>
  <c r="AJ29" i="19" s="1"/>
  <c r="AN29" i="19" s="1"/>
  <c r="AE17" i="18"/>
  <c r="AK17" i="18" s="1"/>
  <c r="AO17" i="18" s="1"/>
  <c r="AE26" i="15"/>
  <c r="AK26" i="15" s="1"/>
  <c r="AO26" i="15" s="1"/>
  <c r="Z12" i="18"/>
  <c r="AA12" i="18" s="1"/>
  <c r="Z22" i="16"/>
  <c r="AA22" i="16" s="1"/>
  <c r="AE22" i="16" s="1"/>
  <c r="AK22" i="16" s="1"/>
  <c r="AO22" i="16" s="1"/>
  <c r="AE15" i="19"/>
  <c r="AJ15" i="19" s="1"/>
  <c r="AN15" i="19" s="1"/>
  <c r="AE38" i="18"/>
  <c r="AK38" i="18" s="1"/>
  <c r="AO38" i="18" s="1"/>
  <c r="AE23" i="18"/>
  <c r="AK23" i="18" s="1"/>
  <c r="AO23" i="18" s="1"/>
  <c r="Z15" i="16"/>
  <c r="AA15" i="16" s="1"/>
  <c r="AE14" i="18"/>
  <c r="AK14" i="18" s="1"/>
  <c r="AO14" i="18" s="1"/>
  <c r="AE19" i="19"/>
  <c r="AJ19" i="19" s="1"/>
  <c r="AN19" i="19" s="1"/>
  <c r="Z30" i="16"/>
  <c r="AA30" i="16" s="1"/>
  <c r="AE46" i="18"/>
  <c r="AK46" i="18" s="1"/>
  <c r="AO46" i="18" s="1"/>
  <c r="AE11" i="17"/>
  <c r="Z12" i="16"/>
  <c r="AA12" i="16" s="1"/>
  <c r="AE12" i="16" s="1"/>
  <c r="AE42" i="15"/>
  <c r="AK42" i="15" s="1"/>
  <c r="AO42" i="15" s="1"/>
  <c r="AE30" i="17"/>
  <c r="AJ30" i="17" s="1"/>
  <c r="AN30" i="17" s="1"/>
  <c r="Z32" i="16"/>
  <c r="AA32" i="16" s="1"/>
  <c r="AE60" i="18"/>
  <c r="AK60" i="18" s="1"/>
  <c r="AO60" i="18" s="1"/>
  <c r="AE34" i="18"/>
  <c r="AK34" i="18" s="1"/>
  <c r="AO34" i="18" s="1"/>
  <c r="Z17" i="16"/>
  <c r="AA17" i="16" s="1"/>
  <c r="AE62" i="18"/>
  <c r="AK62" i="18" s="1"/>
  <c r="AO62" i="18" s="1"/>
  <c r="AA28" i="18"/>
  <c r="AE28" i="18" s="1"/>
  <c r="AK36" i="18"/>
  <c r="AO36" i="18" s="1"/>
  <c r="AK45" i="18"/>
  <c r="AO45" i="18" s="1"/>
  <c r="AK17" i="15"/>
  <c r="AO17" i="15" s="1"/>
  <c r="AK28" i="16"/>
  <c r="AO28" i="16" s="1"/>
  <c r="AK11" i="15"/>
  <c r="AO11" i="15" s="1"/>
  <c r="AK16" i="18"/>
  <c r="AO16" i="18" s="1"/>
  <c r="AJ35" i="19"/>
  <c r="AN35" i="19" s="1"/>
  <c r="AK18" i="15"/>
  <c r="AO18" i="15" s="1"/>
  <c r="AJ22" i="19"/>
  <c r="AN22" i="19" s="1"/>
  <c r="AJ18" i="19"/>
  <c r="AN18" i="19" s="1"/>
  <c r="AK41" i="18"/>
  <c r="AO41" i="18" s="1"/>
  <c r="AK26" i="18"/>
  <c r="AO26" i="18" s="1"/>
  <c r="AK42" i="18"/>
  <c r="AO42" i="18" s="1"/>
  <c r="AK30" i="15"/>
  <c r="AO30" i="15" s="1"/>
  <c r="AK45" i="15"/>
  <c r="AO45" i="15" s="1"/>
  <c r="AK33" i="15"/>
  <c r="AO33" i="15" s="1"/>
  <c r="AK20" i="18"/>
  <c r="AO20" i="18" s="1"/>
  <c r="AK40" i="15"/>
  <c r="AO40" i="15" s="1"/>
  <c r="AJ13" i="19"/>
  <c r="AN13" i="19" s="1"/>
  <c r="AN13" i="17"/>
  <c r="AN21" i="17"/>
  <c r="AN19" i="17"/>
  <c r="AE32" i="15"/>
  <c r="AE16" i="19"/>
  <c r="AE25" i="18"/>
  <c r="AE24" i="18"/>
  <c r="Z56" i="18"/>
  <c r="AA56" i="18" s="1"/>
  <c r="AE56" i="18" s="1"/>
  <c r="AE61" i="18"/>
  <c r="AE28" i="17"/>
  <c r="AJ28" i="17" s="1"/>
  <c r="AE24" i="16"/>
  <c r="AE11" i="18"/>
  <c r="AE13" i="16"/>
  <c r="AE55" i="18"/>
  <c r="AE26" i="16"/>
  <c r="AE20" i="15"/>
  <c r="AE25" i="16"/>
  <c r="AE21" i="19"/>
  <c r="Z12" i="19"/>
  <c r="AA12" i="19" s="1"/>
  <c r="AE12" i="19" s="1"/>
  <c r="AJ11" i="19" s="1"/>
  <c r="AE34" i="16"/>
  <c r="AE27" i="18"/>
  <c r="AE20" i="19"/>
  <c r="AE18" i="17"/>
  <c r="AJ18" i="17" s="1"/>
  <c r="AE44" i="18"/>
  <c r="AE21" i="18"/>
  <c r="AE59" i="18"/>
  <c r="AE20" i="17"/>
  <c r="AJ20" i="17" s="1"/>
  <c r="AE29" i="16"/>
  <c r="AE31" i="19"/>
  <c r="AA36" i="16"/>
  <c r="AE36" i="16" s="1"/>
  <c r="AE28" i="15"/>
  <c r="AE38" i="16"/>
  <c r="AE15" i="17"/>
  <c r="AJ15" i="17" s="1"/>
  <c r="AE17" i="17"/>
  <c r="AJ17" i="17" s="1"/>
  <c r="AA48" i="18"/>
  <c r="AE48" i="18" s="1"/>
  <c r="Z57" i="18"/>
  <c r="AA57" i="18" s="1"/>
  <c r="AE33" i="16"/>
  <c r="AE27" i="16"/>
  <c r="AA35" i="16"/>
  <c r="AE35" i="16" s="1"/>
  <c r="AE40" i="16"/>
  <c r="AE26" i="17"/>
  <c r="AJ26" i="17" s="1"/>
  <c r="AE43" i="18"/>
  <c r="AE49" i="18"/>
  <c r="AE21" i="15"/>
  <c r="AE18" i="18"/>
  <c r="Z12" i="17"/>
  <c r="AA12" i="17" s="1"/>
  <c r="AE12" i="17" s="1"/>
  <c r="AE31" i="16"/>
  <c r="AE29" i="18"/>
  <c r="AA23" i="19"/>
  <c r="AE34" i="15"/>
  <c r="AE17" i="19"/>
  <c r="AE19" i="16"/>
  <c r="AE44" i="15"/>
  <c r="AE22" i="18"/>
  <c r="AE34" i="19" l="1"/>
  <c r="AJ34" i="19" s="1"/>
  <c r="AN34" i="19" s="1"/>
  <c r="AE24" i="19"/>
  <c r="AJ24" i="19" s="1"/>
  <c r="AN24" i="19" s="1"/>
  <c r="AE39" i="16"/>
  <c r="AK39" i="16" s="1"/>
  <c r="AO39" i="16" s="1"/>
  <c r="AE33" i="17"/>
  <c r="AJ33" i="17" s="1"/>
  <c r="AN33" i="17" s="1"/>
  <c r="AE11" i="16"/>
  <c r="AK11" i="16" s="1"/>
  <c r="AO11" i="16" s="1"/>
  <c r="AE12" i="18"/>
  <c r="AK12" i="18" s="1"/>
  <c r="AO12" i="18" s="1"/>
  <c r="AE30" i="16"/>
  <c r="AJ11" i="17"/>
  <c r="AN11" i="17" s="1"/>
  <c r="AE15" i="16"/>
  <c r="AK15" i="16" s="1"/>
  <c r="AO15" i="16" s="1"/>
  <c r="AE32" i="16"/>
  <c r="AK32" i="16" s="1"/>
  <c r="AO32" i="16" s="1"/>
  <c r="AE17" i="16"/>
  <c r="AK17" i="16" s="1"/>
  <c r="AO17" i="16" s="1"/>
  <c r="AK40" i="16"/>
  <c r="AO40" i="16" s="1"/>
  <c r="AJ31" i="19"/>
  <c r="AN31" i="19" s="1"/>
  <c r="AK28" i="18"/>
  <c r="AO28" i="18" s="1"/>
  <c r="AJ17" i="19"/>
  <c r="AN17" i="19" s="1"/>
  <c r="AK29" i="18"/>
  <c r="AO29" i="18" s="1"/>
  <c r="AK21" i="15"/>
  <c r="AO21" i="15" s="1"/>
  <c r="AK35" i="16"/>
  <c r="AO35" i="16" s="1"/>
  <c r="AK48" i="18"/>
  <c r="AO48" i="18" s="1"/>
  <c r="AK36" i="16"/>
  <c r="AO36" i="16" s="1"/>
  <c r="AK29" i="16"/>
  <c r="AO29" i="16" s="1"/>
  <c r="AK44" i="18"/>
  <c r="AO44" i="18" s="1"/>
  <c r="AK50" i="18"/>
  <c r="AO50" i="18" s="1"/>
  <c r="AK24" i="16"/>
  <c r="AO24" i="16" s="1"/>
  <c r="AK32" i="15"/>
  <c r="AO32" i="15" s="1"/>
  <c r="AK22" i="18"/>
  <c r="AO22" i="18" s="1"/>
  <c r="AK34" i="15"/>
  <c r="AO34" i="15" s="1"/>
  <c r="AK31" i="16"/>
  <c r="AO31" i="16" s="1"/>
  <c r="AK27" i="16"/>
  <c r="AO27" i="16" s="1"/>
  <c r="AK38" i="16"/>
  <c r="AO38" i="16" s="1"/>
  <c r="AJ21" i="19"/>
  <c r="AN21" i="19" s="1"/>
  <c r="AK20" i="15"/>
  <c r="AO20" i="15" s="1"/>
  <c r="AK19" i="16"/>
  <c r="AO19" i="16" s="1"/>
  <c r="AK18" i="18"/>
  <c r="AO18" i="18" s="1"/>
  <c r="AK43" i="18"/>
  <c r="AO43" i="18" s="1"/>
  <c r="AK28" i="15"/>
  <c r="AO28" i="15" s="1"/>
  <c r="AK21" i="18"/>
  <c r="AO21" i="18" s="1"/>
  <c r="AJ20" i="19"/>
  <c r="AN20" i="19" s="1"/>
  <c r="AK34" i="16"/>
  <c r="AO34" i="16" s="1"/>
  <c r="AK55" i="18"/>
  <c r="AO55" i="18" s="1"/>
  <c r="AK30" i="16"/>
  <c r="AO30" i="16" s="1"/>
  <c r="AJ16" i="19"/>
  <c r="AN16" i="19" s="1"/>
  <c r="AK41" i="16"/>
  <c r="AO41" i="16" s="1"/>
  <c r="AK27" i="18"/>
  <c r="AO27" i="18" s="1"/>
  <c r="AN11" i="19"/>
  <c r="AK13" i="16"/>
  <c r="AO13" i="16" s="1"/>
  <c r="AK24" i="18"/>
  <c r="AO24" i="18" s="1"/>
  <c r="AK44" i="15"/>
  <c r="AO44" i="15" s="1"/>
  <c r="AK49" i="18"/>
  <c r="AO49" i="18" s="1"/>
  <c r="AK42" i="16"/>
  <c r="AO42" i="16" s="1"/>
  <c r="AK33" i="16"/>
  <c r="AO33" i="16" s="1"/>
  <c r="AK59" i="18"/>
  <c r="AO59" i="18" s="1"/>
  <c r="AK21" i="16"/>
  <c r="AO21" i="16" s="1"/>
  <c r="AK25" i="16"/>
  <c r="AO25" i="16" s="1"/>
  <c r="AK26" i="16"/>
  <c r="AO26" i="16" s="1"/>
  <c r="AK11" i="18"/>
  <c r="AO11" i="18" s="1"/>
  <c r="AK61" i="18"/>
  <c r="AO61" i="18" s="1"/>
  <c r="AK25" i="18"/>
  <c r="AO25" i="18" s="1"/>
  <c r="AN20" i="17"/>
  <c r="AN28" i="17"/>
  <c r="AN26" i="17"/>
  <c r="AN17" i="17"/>
  <c r="AN18" i="17"/>
  <c r="AN15" i="17"/>
  <c r="AE57" i="18"/>
  <c r="AE23" i="19"/>
  <c r="AJ23" i="19" l="1"/>
  <c r="AN23" i="19" s="1"/>
  <c r="AK57" i="18"/>
  <c r="AO57" i="18" s="1"/>
</calcChain>
</file>

<file path=xl/comments1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0" shapeId="0">
      <text>
        <r>
          <rPr>
            <sz val="11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2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34" authorId="0" shapeId="0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45" authorId="0" shapeId="0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</commentList>
</comments>
</file>

<file path=xl/comments3.xml><?xml version="1.0" encoding="utf-8"?>
<comments xmlns="http://schemas.openxmlformats.org/spreadsheetml/2006/main">
  <authors>
    <author>Jorge</author>
  </authors>
  <commentList>
    <comment ref="P35" authorId="0" shapeId="0">
      <text>
        <r>
          <rPr>
            <sz val="12"/>
            <color indexed="81"/>
            <rFont val="Tahoma"/>
            <family val="2"/>
          </rPr>
          <t xml:space="preserve">
DE 1 A 38 = $335,89 X HS
DE 39 A 48 = $100 X HS
</t>
        </r>
      </text>
    </comment>
    <comment ref="P36" authorId="0" shapeId="0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  <comment ref="P37" authorId="0" shapeId="0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38" authorId="0" shapeId="0">
      <text>
        <r>
          <rPr>
            <sz val="11"/>
            <color indexed="81"/>
            <rFont val="Tahoma"/>
            <family val="2"/>
          </rPr>
          <t xml:space="preserve">
DE 1 A 38 = $335,89 X HS
DE 39 A 48 = $100 X HS
</t>
        </r>
      </text>
    </comment>
    <comment ref="P39" authorId="0" shapeId="0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0" shapeId="0">
      <text>
        <r>
          <rPr>
            <sz val="11"/>
            <color indexed="81"/>
            <rFont val="Tahoma"/>
            <family val="2"/>
          </rPr>
          <t>DE 1 A 38 = $335,89 X HS
DE 39 A 48 = $100 X HS</t>
        </r>
      </text>
    </comment>
    <comment ref="P41" authorId="0" shapeId="0">
      <text>
        <r>
          <rPr>
            <sz val="12"/>
            <color indexed="81"/>
            <rFont val="Tahoma"/>
            <family val="2"/>
          </rPr>
          <t>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0" shapeId="0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</commentList>
</comments>
</file>

<file path=xl/comments4.xml><?xml version="1.0" encoding="utf-8"?>
<comments xmlns="http://schemas.openxmlformats.org/spreadsheetml/2006/main">
  <authors>
    <author>Jorge</author>
  </authors>
  <commentList>
    <comment ref="P25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6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7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8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9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7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8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9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50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5.xml><?xml version="1.0" encoding="utf-8"?>
<comments xmlns="http://schemas.openxmlformats.org/spreadsheetml/2006/main">
  <authors>
    <author>Jorge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4" authorId="0" shapeId="0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6.xml><?xml version="1.0" encoding="utf-8"?>
<comments xmlns="http://schemas.openxmlformats.org/spreadsheetml/2006/main">
  <authors>
    <author>Jorge</author>
  </authors>
  <commentList>
    <comment ref="C9" authorId="0" shapeId="0">
      <text>
        <r>
          <rPr>
            <b/>
            <sz val="12"/>
            <color indexed="81"/>
            <rFont val="Helvetica"/>
          </rPr>
          <t>para los 1135 o más puntos y proprcional para puntaje menor</t>
        </r>
      </text>
    </comment>
    <comment ref="D9" authorId="0" shapeId="0">
      <text>
        <r>
          <rPr>
            <b/>
            <sz val="12"/>
            <color indexed="81"/>
            <rFont val="Helvetica"/>
          </rPr>
          <t>para los 2070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<sst xmlns="http://schemas.openxmlformats.org/spreadsheetml/2006/main" count="738" uniqueCount="210">
  <si>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</si>
  <si>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</si>
  <si>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</si>
  <si>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</si>
  <si>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</si>
  <si>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</si>
  <si>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</si>
  <si>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</si>
  <si>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</si>
  <si>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</si>
  <si>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</si>
  <si>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</si>
  <si>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</si>
  <si>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</si>
  <si>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</si>
  <si>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</si>
  <si>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</si>
  <si>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</si>
  <si>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</si>
  <si>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</si>
  <si>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</si>
  <si>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</si>
  <si>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</si>
  <si>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</si>
  <si>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</si>
  <si>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</si>
  <si>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</si>
  <si>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</si>
  <si>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</si>
  <si>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</si>
  <si>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</si>
  <si>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</si>
  <si>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</si>
  <si>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</si>
  <si>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</si>
  <si>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</si>
  <si>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</si>
  <si>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</si>
  <si>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</si>
  <si>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</si>
  <si>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</si>
  <si>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</si>
  <si>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</si>
  <si>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</si>
  <si>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</si>
  <si>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</si>
  <si>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</si>
  <si>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</si>
  <si>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</si>
  <si>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</si>
  <si>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</si>
  <si>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</si>
  <si>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</si>
  <si>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</si>
  <si>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</si>
  <si>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</si>
  <si>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</si>
  <si>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</si>
  <si>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</si>
  <si>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</si>
  <si>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</si>
  <si>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</si>
  <si>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</si>
  <si>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</si>
  <si>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</si>
  <si>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</si>
  <si>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</si>
  <si>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</si>
  <si>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</si>
  <si>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</si>
  <si>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</si>
  <si>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</si>
  <si>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</si>
  <si>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</si>
  <si>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</si>
  <si>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</si>
  <si>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</si>
  <si>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</si>
  <si>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</si>
  <si>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</si>
  <si>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</si>
  <si>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</si>
  <si>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</si>
  <si>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</si>
  <si>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</si>
  <si>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</si>
  <si>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</si>
  <si>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</si>
  <si>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</si>
  <si>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</si>
  <si>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</si>
  <si>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</si>
  <si>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</si>
  <si>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</si>
  <si>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</si>
  <si>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</si>
  <si>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</si>
  <si>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</si>
  <si>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</si>
  <si>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</si>
  <si>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</si>
  <si>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</si>
  <si>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</si>
  <si>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</si>
  <si>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</si>
  <si>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</si>
  <si>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</si>
  <si>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</si>
  <si>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</si>
  <si>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</si>
  <si>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</si>
  <si>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</si>
  <si>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</si>
  <si>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</si>
  <si>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</si>
  <si>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</si>
  <si>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</si>
  <si>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</si>
  <si>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</si>
  <si>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</si>
  <si>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</si>
  <si>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</si>
  <si>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</si>
  <si>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</si>
  <si>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</si>
  <si>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</si>
  <si>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</si>
  <si>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</si>
  <si>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</si>
  <si>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</si>
  <si>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</si>
  <si>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</si>
  <si>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</si>
  <si>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</si>
  <si>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</si>
  <si>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</si>
  <si>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</si>
  <si>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</si>
  <si>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</si>
  <si>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</si>
  <si>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</si>
  <si>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</si>
  <si>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</si>
  <si>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</si>
  <si>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</si>
  <si>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</si>
  <si>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</si>
  <si>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</si>
  <si>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</si>
  <si>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</si>
  <si>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</si>
  <si>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</si>
  <si>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</si>
  <si>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</si>
  <si>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</si>
  <si>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</si>
  <si>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</si>
  <si>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</si>
  <si>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</si>
  <si>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</si>
  <si>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</si>
  <si>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</si>
  <si>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</si>
  <si>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</si>
  <si>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</si>
  <si>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</si>
  <si>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</si>
  <si>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</si>
  <si>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</si>
  <si>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</si>
  <si>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</si>
  <si>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</si>
  <si>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</si>
  <si>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</si>
  <si>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 xml:space="preserve">APORTE NAC. A MAT. DIDÁCTICO 2017 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</si>
  <si>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</si>
  <si>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</si>
  <si>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</si>
  <si>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</si>
  <si>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</si>
  <si>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</si>
  <si>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Maestra Grado JS</t>
  </si>
  <si>
    <t>Hasta 60%</t>
  </si>
  <si>
    <t>70% o mayor</t>
  </si>
  <si>
    <t>Maestra Grado JC</t>
  </si>
  <si>
    <t>EQUIVALENCIA 40 Horas Cátedra (todos los Niveles)</t>
  </si>
  <si>
    <t xml:space="preserve">Adicional Especial Remun no Bonif. </t>
  </si>
  <si>
    <t>ADICIONAL ESPECIAL REM Y NO BONIF.</t>
  </si>
  <si>
    <t xml:space="preserve"> NETO DEL ADICIO-NAL</t>
  </si>
  <si>
    <t>NETO A COBRAR</t>
  </si>
  <si>
    <t>SUMA FIJA NO REMUN.Y NO BONIF. POR UNICA VEZ</t>
  </si>
  <si>
    <t>1135 o mayor</t>
  </si>
  <si>
    <t>Si el puntaje fuera menor a 1.135 puntos, se otorgará un monto proporcional al puntaje del Sueldo Básico Unificado Docente</t>
  </si>
  <si>
    <t>2070 o mayor</t>
  </si>
  <si>
    <t>Si el puntaje fuera menor a 2.070 puntos, se otorgará un monto proporcional al puntaje del Sueldo Básico Unificado Docente.</t>
  </si>
  <si>
    <t>SE COMPUTA DENTRO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</si>
  <si>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1 CUOTA EXTRAORDINARIA DE FONID </t>
  </si>
  <si>
    <t>Grilla Salarial según ACTA PARITARIA desde MARZO 2020</t>
  </si>
  <si>
    <t>Grilla Salarial según ACTA PARITARIA  desde MARZO 2020</t>
  </si>
  <si>
    <t>Grilla Salarial según ACTA PARITARIA   desde MARZO 2020</t>
  </si>
  <si>
    <t>MARZO 2020</t>
  </si>
  <si>
    <t xml:space="preserve">Indices de Jerarquización </t>
  </si>
  <si>
    <t>Desde 2017</t>
  </si>
  <si>
    <t>Desde 03/2020</t>
  </si>
  <si>
    <t>SFNRNB  (1135/2070 o mayor- sino proporc) h/ 60%</t>
  </si>
  <si>
    <t>SFRNB  (1135/2070 o mayor - sino proporc) desde 70%</t>
  </si>
  <si>
    <t>Suma Fija Remun. No Bonif.</t>
  </si>
  <si>
    <t>Suma Fija No Remun. No Bonif.</t>
  </si>
  <si>
    <t>Suma Fija No Remun. No Bonif</t>
  </si>
  <si>
    <t>Suma Fija Remun.  No Bonif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</si>
</sst>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&quot;$&quot;\ * #,##0.000000000_ ;_ &quot;$&quot;\ * \-#,##0.000000000_ ;_ &quot;$&quot;\ * &quot;-&quot;??_ ;_ @_ "/>
    <numFmt numFmtId="167" formatCode="0.000"/>
    <numFmt numFmtId="168" formatCode="_ &quot;$&quot;\ * #,##0.000_ ;_ &quot;$&quot;\ * \-#,##0.000_ ;_ &quot;$&quot;\ * &quot;-&quot;??_ ;_ @_ "/>
    <numFmt numFmtId="169" formatCode="0.0000"/>
    <numFmt numFmtId="170" formatCode="_ &quot;$&quot;\ * #,##0.000000_ ;_ &quot;$&quot;\ * \-#,##0.000000_ ;_ &quot;$&quot;\ * &quot;-&quot;??_ ;_ @_ "/>
  </numFmts>
  <fonts count="51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  <font>
      <b/>
      <sz val="18"/>
      <name val="Helvetica"/>
    </font>
    <font>
      <b/>
      <sz val="22"/>
      <name val="Helvetica"/>
    </font>
    <font>
      <sz val="11"/>
      <color indexed="81"/>
      <name val="Tahoma"/>
      <family val="2"/>
    </font>
    <font>
      <sz val="12"/>
      <color indexed="81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0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65" fontId="4" fillId="2" borderId="0" xfId="1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165" fontId="4" fillId="9" borderId="0" xfId="0" applyNumberFormat="1" applyFont="1" applyFill="1" applyBorder="1" applyAlignment="1">
      <alignment horizontal="center" vertical="center" wrapText="1"/>
    </xf>
    <xf numFmtId="165" fontId="13" fillId="9" borderId="0" xfId="0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168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165" fontId="4" fillId="9" borderId="1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165" fontId="4" fillId="9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12" fillId="9" borderId="0" xfId="1" applyNumberFormat="1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165" fontId="4" fillId="0" borderId="1" xfId="1" applyFont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0" fontId="44" fillId="4" borderId="12" xfId="0" applyFont="1" applyFill="1" applyBorder="1" applyAlignment="1"/>
    <xf numFmtId="0" fontId="44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165" fontId="4" fillId="0" borderId="5" xfId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65" fontId="4" fillId="0" borderId="15" xfId="1" applyFont="1" applyBorder="1" applyAlignment="1">
      <alignment horizontal="center" vertical="center" wrapText="1"/>
    </xf>
    <xf numFmtId="165" fontId="4" fillId="9" borderId="15" xfId="0" applyNumberFormat="1" applyFont="1" applyFill="1" applyBorder="1" applyAlignment="1">
      <alignment horizontal="center" vertical="center" wrapText="1"/>
    </xf>
    <xf numFmtId="165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165" fontId="4" fillId="9" borderId="1" xfId="1" applyFont="1" applyFill="1" applyBorder="1" applyAlignment="1">
      <alignment horizontal="center" vertical="center" wrapText="1"/>
    </xf>
    <xf numFmtId="165" fontId="4" fillId="9" borderId="2" xfId="1" applyFont="1" applyFill="1" applyBorder="1" applyAlignment="1">
      <alignment horizontal="center" vertical="center" wrapText="1"/>
    </xf>
    <xf numFmtId="165" fontId="16" fillId="9" borderId="1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5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165" fontId="4" fillId="9" borderId="0" xfId="1" applyFont="1" applyFill="1" applyBorder="1" applyAlignment="1">
      <alignment horizontal="center" wrapText="1"/>
    </xf>
    <xf numFmtId="164" fontId="4" fillId="9" borderId="0" xfId="0" applyNumberFormat="1" applyFont="1" applyFill="1" applyBorder="1" applyAlignment="1">
      <alignment horizontal="right" vertical="center" wrapText="1"/>
    </xf>
    <xf numFmtId="165" fontId="4" fillId="9" borderId="17" xfId="0" applyNumberFormat="1" applyFont="1" applyFill="1" applyBorder="1" applyAlignment="1">
      <alignment horizontal="center" vertical="center" wrapText="1"/>
    </xf>
    <xf numFmtId="165" fontId="4" fillId="9" borderId="18" xfId="0" applyNumberFormat="1" applyFont="1" applyFill="1" applyBorder="1" applyAlignment="1">
      <alignment horizontal="center" vertical="center" wrapText="1"/>
    </xf>
    <xf numFmtId="0" fontId="44" fillId="4" borderId="0" xfId="0" applyFont="1" applyFill="1" applyBorder="1" applyAlignment="1"/>
    <xf numFmtId="0" fontId="44" fillId="4" borderId="19" xfId="0" applyFont="1" applyFill="1" applyBorder="1" applyAlignment="1"/>
    <xf numFmtId="0" fontId="44" fillId="4" borderId="20" xfId="0" applyFont="1" applyFill="1" applyBorder="1" applyAlignment="1"/>
    <xf numFmtId="0" fontId="44" fillId="4" borderId="21" xfId="0" applyFont="1" applyFill="1" applyBorder="1" applyAlignment="1">
      <alignment wrapText="1"/>
    </xf>
    <xf numFmtId="166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23" xfId="0" applyFont="1" applyBorder="1"/>
    <xf numFmtId="0" fontId="29" fillId="0" borderId="22" xfId="0" applyFont="1" applyBorder="1"/>
    <xf numFmtId="0" fontId="44" fillId="11" borderId="12" xfId="0" applyFont="1" applyFill="1" applyBorder="1" applyAlignment="1"/>
    <xf numFmtId="0" fontId="2" fillId="11" borderId="0" xfId="0" applyFont="1" applyFill="1"/>
    <xf numFmtId="0" fontId="44" fillId="11" borderId="13" xfId="0" applyFont="1" applyFill="1" applyBorder="1" applyAlignment="1"/>
    <xf numFmtId="0" fontId="44" fillId="11" borderId="24" xfId="0" applyFont="1" applyFill="1" applyBorder="1" applyAlignment="1"/>
    <xf numFmtId="0" fontId="24" fillId="3" borderId="21" xfId="0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9" borderId="26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65" fontId="4" fillId="9" borderId="6" xfId="0" applyNumberFormat="1" applyFont="1" applyFill="1" applyBorder="1" applyAlignment="1">
      <alignment horizontal="center" vertical="center" wrapText="1"/>
    </xf>
    <xf numFmtId="165" fontId="4" fillId="9" borderId="25" xfId="0" applyNumberFormat="1" applyFont="1" applyFill="1" applyBorder="1" applyAlignment="1">
      <alignment horizontal="center" vertical="center" wrapText="1"/>
    </xf>
    <xf numFmtId="165" fontId="4" fillId="9" borderId="7" xfId="0" applyNumberFormat="1" applyFont="1" applyFill="1" applyBorder="1" applyAlignment="1">
      <alignment horizontal="center" vertical="center" wrapText="1"/>
    </xf>
    <xf numFmtId="165" fontId="4" fillId="9" borderId="16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9" borderId="27" xfId="0" applyNumberFormat="1" applyFont="1" applyFill="1" applyBorder="1" applyAlignment="1">
      <alignment horizontal="center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5" fontId="4" fillId="0" borderId="17" xfId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9" borderId="28" xfId="0" applyNumberFormat="1" applyFont="1" applyFill="1" applyBorder="1" applyAlignment="1">
      <alignment horizontal="center" vertical="center" wrapText="1"/>
    </xf>
    <xf numFmtId="165" fontId="4" fillId="9" borderId="29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16" xfId="0" applyFont="1" applyFill="1" applyBorder="1" applyAlignment="1">
      <alignment horizontal="left" wrapText="1"/>
    </xf>
    <xf numFmtId="0" fontId="28" fillId="9" borderId="29" xfId="0" applyFont="1" applyFill="1" applyBorder="1" applyAlignment="1">
      <alignment horizontal="left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165" fontId="4" fillId="9" borderId="20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9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20" xfId="0" applyFont="1" applyBorder="1" applyAlignment="1">
      <alignment horizontal="center" vertical="center" wrapText="1"/>
    </xf>
    <xf numFmtId="9" fontId="35" fillId="0" borderId="3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7" fillId="0" borderId="6" xfId="0" applyFont="1" applyBorder="1" applyAlignment="1">
      <alignment horizontal="center" vertical="center" wrapText="1"/>
    </xf>
    <xf numFmtId="165" fontId="4" fillId="9" borderId="5" xfId="0" applyNumberFormat="1" applyFont="1" applyFill="1" applyBorder="1" applyAlignment="1">
      <alignment horizontal="center" vertical="center" wrapText="1"/>
    </xf>
    <xf numFmtId="165" fontId="4" fillId="0" borderId="18" xfId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3" fillId="9" borderId="15" xfId="0" applyFont="1" applyFill="1" applyBorder="1" applyAlignment="1">
      <alignment horizontal="center" vertical="center"/>
    </xf>
    <xf numFmtId="165" fontId="4" fillId="0" borderId="25" xfId="1" applyFont="1" applyBorder="1" applyAlignment="1">
      <alignment horizontal="center" vertical="center" wrapText="1"/>
    </xf>
    <xf numFmtId="165" fontId="4" fillId="9" borderId="10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26" xfId="1" applyFont="1" applyBorder="1" applyAlignment="1">
      <alignment horizontal="center" vertical="center" wrapText="1"/>
    </xf>
    <xf numFmtId="164" fontId="4" fillId="9" borderId="25" xfId="0" applyNumberFormat="1" applyFont="1" applyFill="1" applyBorder="1" applyAlignment="1">
      <alignment horizontal="center" vertical="center" wrapText="1"/>
    </xf>
    <xf numFmtId="165" fontId="4" fillId="9" borderId="3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165" fontId="4" fillId="0" borderId="10" xfId="1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165" fontId="4" fillId="0" borderId="3" xfId="1" applyFont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165" fontId="4" fillId="9" borderId="33" xfId="0" applyNumberFormat="1" applyFont="1" applyFill="1" applyBorder="1" applyAlignment="1">
      <alignment horizontal="center" vertical="center" wrapText="1"/>
    </xf>
    <xf numFmtId="165" fontId="4" fillId="9" borderId="9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165" fontId="4" fillId="0" borderId="12" xfId="1" applyFont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4" fillId="9" borderId="24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9" borderId="12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165" fontId="4" fillId="9" borderId="15" xfId="1" applyFont="1" applyFill="1" applyBorder="1" applyAlignment="1">
      <alignment horizontal="center" vertical="center" wrapText="1"/>
    </xf>
    <xf numFmtId="165" fontId="16" fillId="9" borderId="15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165" fontId="16" fillId="9" borderId="26" xfId="0" applyNumberFormat="1" applyFont="1" applyFill="1" applyBorder="1" applyAlignment="1">
      <alignment horizontal="center" vertical="center" wrapText="1"/>
    </xf>
    <xf numFmtId="165" fontId="16" fillId="9" borderId="17" xfId="0" applyNumberFormat="1" applyFont="1" applyFill="1" applyBorder="1" applyAlignment="1">
      <alignment horizontal="center" vertical="center" wrapText="1"/>
    </xf>
    <xf numFmtId="165" fontId="16" fillId="9" borderId="18" xfId="0" applyNumberFormat="1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165" fontId="2" fillId="12" borderId="0" xfId="1" applyFont="1" applyFill="1" applyAlignment="1">
      <alignment horizontal="center" wrapText="1"/>
    </xf>
    <xf numFmtId="164" fontId="4" fillId="9" borderId="39" xfId="0" applyNumberFormat="1" applyFont="1" applyFill="1" applyBorder="1" applyAlignment="1">
      <alignment horizontal="center" vertical="center" wrapText="1"/>
    </xf>
    <xf numFmtId="164" fontId="4" fillId="9" borderId="18" xfId="0" applyNumberFormat="1" applyFont="1" applyFill="1" applyBorder="1" applyAlignment="1">
      <alignment horizontal="center" vertical="center" wrapText="1"/>
    </xf>
    <xf numFmtId="164" fontId="4" fillId="9" borderId="26" xfId="0" applyNumberFormat="1" applyFont="1" applyFill="1" applyBorder="1" applyAlignment="1">
      <alignment horizontal="center" vertical="center" wrapText="1"/>
    </xf>
    <xf numFmtId="164" fontId="4" fillId="9" borderId="17" xfId="0" applyNumberFormat="1" applyFont="1" applyFill="1" applyBorder="1" applyAlignment="1">
      <alignment horizontal="center" vertical="center" wrapText="1"/>
    </xf>
    <xf numFmtId="164" fontId="4" fillId="9" borderId="31" xfId="0" applyNumberFormat="1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5" fontId="4" fillId="13" borderId="11" xfId="1" applyFont="1" applyFill="1" applyBorder="1" applyAlignment="1">
      <alignment horizontal="center" vertical="center" wrapText="1"/>
    </xf>
    <xf numFmtId="165" fontId="4" fillId="13" borderId="40" xfId="1" applyFont="1" applyFill="1" applyBorder="1" applyAlignment="1">
      <alignment horizontal="center" vertical="center" wrapText="1"/>
    </xf>
    <xf numFmtId="165" fontId="4" fillId="13" borderId="11" xfId="0" applyNumberFormat="1" applyFont="1" applyFill="1" applyBorder="1" applyAlignment="1">
      <alignment horizontal="center" vertical="center" wrapText="1"/>
    </xf>
    <xf numFmtId="165" fontId="4" fillId="13" borderId="39" xfId="1" applyFont="1" applyFill="1" applyBorder="1" applyAlignment="1">
      <alignment horizontal="center" vertical="center" wrapText="1"/>
    </xf>
    <xf numFmtId="165" fontId="4" fillId="13" borderId="39" xfId="0" applyNumberFormat="1" applyFont="1" applyFill="1" applyBorder="1" applyAlignment="1">
      <alignment horizontal="center" vertical="center" wrapText="1"/>
    </xf>
    <xf numFmtId="165" fontId="4" fillId="13" borderId="40" xfId="0" applyNumberFormat="1" applyFont="1" applyFill="1" applyBorder="1" applyAlignment="1">
      <alignment horizontal="center" vertical="center" wrapText="1"/>
    </xf>
    <xf numFmtId="165" fontId="4" fillId="13" borderId="41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43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3" borderId="30" xfId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20" xfId="1" applyFont="1" applyFill="1" applyBorder="1" applyAlignment="1">
      <alignment horizontal="center" vertical="center" wrapText="1"/>
    </xf>
    <xf numFmtId="165" fontId="4" fillId="13" borderId="3" xfId="0" applyNumberFormat="1" applyFont="1" applyFill="1" applyBorder="1" applyAlignment="1">
      <alignment horizontal="center" vertical="center" wrapText="1"/>
    </xf>
    <xf numFmtId="165" fontId="4" fillId="13" borderId="27" xfId="0" applyNumberFormat="1" applyFont="1" applyFill="1" applyBorder="1" applyAlignment="1">
      <alignment horizontal="center" vertical="center" wrapText="1"/>
    </xf>
    <xf numFmtId="165" fontId="4" fillId="13" borderId="8" xfId="0" applyNumberFormat="1" applyFont="1" applyFill="1" applyBorder="1" applyAlignment="1">
      <alignment horizontal="center" vertical="center" wrapText="1"/>
    </xf>
    <xf numFmtId="165" fontId="4" fillId="13" borderId="29" xfId="0" applyNumberFormat="1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165" fontId="4" fillId="13" borderId="2" xfId="0" applyNumberFormat="1" applyFont="1" applyFill="1" applyBorder="1" applyAlignment="1">
      <alignment horizontal="center" vertical="center" wrapText="1"/>
    </xf>
    <xf numFmtId="0" fontId="43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165" fontId="4" fillId="15" borderId="11" xfId="1" applyFont="1" applyFill="1" applyBorder="1" applyAlignment="1">
      <alignment horizontal="center" vertical="center" wrapText="1"/>
    </xf>
    <xf numFmtId="165" fontId="4" fillId="15" borderId="40" xfId="1" applyFont="1" applyFill="1" applyBorder="1" applyAlignment="1">
      <alignment horizontal="center" vertical="center" wrapText="1"/>
    </xf>
    <xf numFmtId="165" fontId="4" fillId="15" borderId="11" xfId="0" applyNumberFormat="1" applyFont="1" applyFill="1" applyBorder="1" applyAlignment="1">
      <alignment horizontal="center" vertical="center" wrapText="1"/>
    </xf>
    <xf numFmtId="165" fontId="4" fillId="15" borderId="39" xfId="1" applyFont="1" applyFill="1" applyBorder="1" applyAlignment="1">
      <alignment horizontal="center" vertical="center" wrapText="1"/>
    </xf>
    <xf numFmtId="165" fontId="4" fillId="15" borderId="40" xfId="0" applyNumberFormat="1" applyFont="1" applyFill="1" applyBorder="1" applyAlignment="1">
      <alignment horizontal="center" vertical="center" wrapText="1"/>
    </xf>
    <xf numFmtId="165" fontId="4" fillId="15" borderId="41" xfId="0" applyNumberFormat="1" applyFont="1" applyFill="1" applyBorder="1" applyAlignment="1">
      <alignment horizontal="center" vertical="center" wrapText="1"/>
    </xf>
    <xf numFmtId="165" fontId="4" fillId="15" borderId="39" xfId="0" applyNumberFormat="1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center" vertical="center" wrapText="1"/>
    </xf>
    <xf numFmtId="0" fontId="43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165" fontId="4" fillId="15" borderId="2" xfId="1" applyFont="1" applyFill="1" applyBorder="1" applyAlignment="1">
      <alignment horizontal="center" vertical="center" wrapText="1"/>
    </xf>
    <xf numFmtId="165" fontId="4" fillId="15" borderId="7" xfId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5" borderId="18" xfId="1" applyFont="1" applyFill="1" applyBorder="1" applyAlignment="1">
      <alignment horizontal="center" vertical="center" wrapText="1"/>
    </xf>
    <xf numFmtId="165" fontId="4" fillId="15" borderId="2" xfId="0" applyNumberFormat="1" applyFont="1" applyFill="1" applyBorder="1" applyAlignment="1">
      <alignment horizontal="center" vertical="center" wrapText="1"/>
    </xf>
    <xf numFmtId="165" fontId="4" fillId="15" borderId="7" xfId="0" applyNumberFormat="1" applyFont="1" applyFill="1" applyBorder="1" applyAlignment="1">
      <alignment horizontal="center" vertical="center" wrapText="1"/>
    </xf>
    <xf numFmtId="165" fontId="4" fillId="15" borderId="29" xfId="0" applyNumberFormat="1" applyFont="1" applyFill="1" applyBorder="1" applyAlignment="1">
      <alignment horizontal="center" vertical="center" wrapText="1"/>
    </xf>
    <xf numFmtId="165" fontId="4" fillId="15" borderId="18" xfId="0" applyNumberFormat="1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center" vertical="center" wrapText="1"/>
    </xf>
    <xf numFmtId="0" fontId="4" fillId="13" borderId="4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4" borderId="4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165" fontId="4" fillId="13" borderId="2" xfId="1" applyFont="1" applyFill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horizontal="center" vertical="center" wrapText="1"/>
    </xf>
    <xf numFmtId="165" fontId="4" fillId="13" borderId="18" xfId="0" applyNumberFormat="1" applyFont="1" applyFill="1" applyBorder="1" applyAlignment="1">
      <alignment horizontal="center" vertical="center" wrapText="1"/>
    </xf>
    <xf numFmtId="0" fontId="43" fillId="17" borderId="11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8" borderId="44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165" fontId="4" fillId="17" borderId="11" xfId="1" applyFont="1" applyFill="1" applyBorder="1" applyAlignment="1">
      <alignment horizontal="center" vertical="center" wrapText="1"/>
    </xf>
    <xf numFmtId="165" fontId="4" fillId="17" borderId="41" xfId="0" applyNumberFormat="1" applyFont="1" applyFill="1" applyBorder="1" applyAlignment="1">
      <alignment horizontal="center" vertical="center" wrapText="1"/>
    </xf>
    <xf numFmtId="165" fontId="4" fillId="17" borderId="11" xfId="0" applyNumberFormat="1" applyFont="1" applyFill="1" applyBorder="1" applyAlignment="1">
      <alignment horizontal="center" vertical="center" wrapText="1"/>
    </xf>
    <xf numFmtId="165" fontId="4" fillId="17" borderId="42" xfId="0" applyNumberFormat="1" applyFont="1" applyFill="1" applyBorder="1" applyAlignment="1">
      <alignment horizontal="center" vertical="center" wrapText="1"/>
    </xf>
    <xf numFmtId="165" fontId="4" fillId="17" borderId="44" xfId="0" applyNumberFormat="1" applyFont="1" applyFill="1" applyBorder="1" applyAlignment="1">
      <alignment horizontal="center" vertical="center" wrapText="1"/>
    </xf>
    <xf numFmtId="165" fontId="4" fillId="17" borderId="40" xfId="0" applyNumberFormat="1" applyFont="1" applyFill="1" applyBorder="1" applyAlignment="1">
      <alignment horizontal="center" vertical="center" wrapText="1"/>
    </xf>
    <xf numFmtId="165" fontId="4" fillId="17" borderId="39" xfId="0" applyNumberFormat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center" vertical="center" wrapText="1"/>
    </xf>
    <xf numFmtId="0" fontId="43" fillId="17" borderId="2" xfId="0" applyFont="1" applyFill="1" applyBorder="1" applyAlignment="1">
      <alignment horizontal="center" vertical="center"/>
    </xf>
    <xf numFmtId="0" fontId="28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8" borderId="47" xfId="0" applyFont="1" applyFill="1" applyBorder="1" applyAlignment="1">
      <alignment horizontal="center" vertical="center" wrapText="1"/>
    </xf>
    <xf numFmtId="0" fontId="0" fillId="17" borderId="0" xfId="0" applyFill="1"/>
    <xf numFmtId="165" fontId="4" fillId="17" borderId="2" xfId="1" applyFont="1" applyFill="1" applyBorder="1" applyAlignment="1">
      <alignment horizontal="center" vertical="center" wrapText="1"/>
    </xf>
    <xf numFmtId="165" fontId="4" fillId="17" borderId="29" xfId="0" applyNumberFormat="1" applyFont="1" applyFill="1" applyBorder="1" applyAlignment="1">
      <alignment horizontal="center" vertical="center" wrapText="1"/>
    </xf>
    <xf numFmtId="165" fontId="4" fillId="17" borderId="2" xfId="0" applyNumberFormat="1" applyFont="1" applyFill="1" applyBorder="1" applyAlignment="1">
      <alignment horizontal="center" vertical="center" wrapText="1"/>
    </xf>
    <xf numFmtId="165" fontId="4" fillId="17" borderId="45" xfId="0" applyNumberFormat="1" applyFont="1" applyFill="1" applyBorder="1" applyAlignment="1">
      <alignment horizontal="center" vertical="center" wrapText="1"/>
    </xf>
    <xf numFmtId="165" fontId="4" fillId="17" borderId="47" xfId="0" applyNumberFormat="1" applyFont="1" applyFill="1" applyBorder="1" applyAlignment="1">
      <alignment horizontal="center" vertical="center" wrapText="1"/>
    </xf>
    <xf numFmtId="165" fontId="4" fillId="17" borderId="7" xfId="0" applyNumberFormat="1" applyFont="1" applyFill="1" applyBorder="1" applyAlignment="1">
      <alignment horizontal="center" vertical="center" wrapText="1"/>
    </xf>
    <xf numFmtId="165" fontId="4" fillId="17" borderId="18" xfId="0" applyNumberFormat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165" fontId="4" fillId="17" borderId="40" xfId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right" vertical="center" wrapText="1"/>
    </xf>
    <xf numFmtId="164" fontId="4" fillId="17" borderId="40" xfId="0" applyNumberFormat="1" applyFont="1" applyFill="1" applyBorder="1" applyAlignment="1">
      <alignment horizontal="center" vertical="center" wrapText="1"/>
    </xf>
    <xf numFmtId="164" fontId="4" fillId="17" borderId="39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165" fontId="4" fillId="17" borderId="7" xfId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right" vertical="center" wrapText="1"/>
    </xf>
    <xf numFmtId="164" fontId="4" fillId="17" borderId="7" xfId="0" applyNumberFormat="1" applyFont="1" applyFill="1" applyBorder="1" applyAlignment="1">
      <alignment horizontal="center" vertical="center" wrapText="1"/>
    </xf>
    <xf numFmtId="164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2" xfId="0" applyFont="1" applyFill="1" applyBorder="1" applyAlignment="1">
      <alignment horizontal="center" vertical="center" wrapText="1"/>
    </xf>
    <xf numFmtId="0" fontId="4" fillId="15" borderId="43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right" vertical="center" wrapText="1"/>
    </xf>
    <xf numFmtId="164" fontId="4" fillId="15" borderId="40" xfId="0" applyNumberFormat="1" applyFont="1" applyFill="1" applyBorder="1" applyAlignment="1">
      <alignment horizontal="center" vertical="center" wrapText="1"/>
    </xf>
    <xf numFmtId="164" fontId="4" fillId="15" borderId="39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right" vertical="center" wrapText="1"/>
    </xf>
    <xf numFmtId="164" fontId="4" fillId="15" borderId="7" xfId="0" applyNumberFormat="1" applyFont="1" applyFill="1" applyBorder="1" applyAlignment="1">
      <alignment horizontal="center" vertical="center" wrapText="1"/>
    </xf>
    <xf numFmtId="164" fontId="4" fillId="15" borderId="18" xfId="0" applyNumberFormat="1" applyFont="1" applyFill="1" applyBorder="1" applyAlignment="1">
      <alignment horizontal="center" vertical="center" wrapText="1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5" borderId="50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164" fontId="4" fillId="13" borderId="11" xfId="0" applyNumberFormat="1" applyFont="1" applyFill="1" applyBorder="1" applyAlignment="1">
      <alignment horizontal="right" vertical="center" wrapText="1"/>
    </xf>
    <xf numFmtId="164" fontId="4" fillId="13" borderId="40" xfId="0" applyNumberFormat="1" applyFont="1" applyFill="1" applyBorder="1" applyAlignment="1">
      <alignment horizontal="center" vertical="center" wrapText="1"/>
    </xf>
    <xf numFmtId="164" fontId="4" fillId="13" borderId="39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165" fontId="4" fillId="13" borderId="7" xfId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right" vertical="center" wrapText="1"/>
    </xf>
    <xf numFmtId="164" fontId="4" fillId="13" borderId="7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165" fontId="4" fillId="15" borderId="17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 wrapText="1"/>
    </xf>
    <xf numFmtId="165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165" fontId="4" fillId="13" borderId="17" xfId="0" applyNumberFormat="1" applyFont="1" applyFill="1" applyBorder="1" applyAlignment="1">
      <alignment horizontal="center" vertical="center" wrapText="1"/>
    </xf>
    <xf numFmtId="165" fontId="4" fillId="13" borderId="1" xfId="0" applyNumberFormat="1" applyFont="1" applyFill="1" applyBorder="1" applyAlignment="1">
      <alignment horizontal="center" vertical="center" wrapText="1"/>
    </xf>
    <xf numFmtId="165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164" fontId="4" fillId="15" borderId="27" xfId="0" applyNumberFormat="1" applyFont="1" applyFill="1" applyBorder="1" applyAlignment="1">
      <alignment horizontal="center" vertical="center" wrapText="1"/>
    </xf>
    <xf numFmtId="165" fontId="4" fillId="17" borderId="17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165" fontId="4" fillId="17" borderId="4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right" vertical="center" wrapText="1"/>
    </xf>
    <xf numFmtId="165" fontId="4" fillId="15" borderId="15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0" fontId="4" fillId="17" borderId="40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vertical="center" wrapText="1"/>
    </xf>
    <xf numFmtId="0" fontId="17" fillId="18" borderId="43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17" fillId="18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165" fontId="4" fillId="17" borderId="3" xfId="1" applyFont="1" applyFill="1" applyBorder="1" applyAlignment="1">
      <alignment horizontal="center" vertical="center" wrapText="1"/>
    </xf>
    <xf numFmtId="165" fontId="4" fillId="17" borderId="3" xfId="0" applyNumberFormat="1" applyFont="1" applyFill="1" applyBorder="1" applyAlignment="1">
      <alignment horizontal="center" vertical="center" wrapText="1"/>
    </xf>
    <xf numFmtId="165" fontId="4" fillId="17" borderId="8" xfId="0" applyNumberFormat="1" applyFont="1" applyFill="1" applyBorder="1" applyAlignment="1">
      <alignment horizontal="center" vertical="center" wrapText="1"/>
    </xf>
    <xf numFmtId="165" fontId="4" fillId="17" borderId="27" xfId="0" applyNumberFormat="1" applyFont="1" applyFill="1" applyBorder="1" applyAlignment="1">
      <alignment horizontal="center" vertical="center" wrapText="1"/>
    </xf>
    <xf numFmtId="165" fontId="4" fillId="17" borderId="28" xfId="0" applyNumberFormat="1" applyFont="1" applyFill="1" applyBorder="1" applyAlignment="1">
      <alignment horizontal="center" vertical="center" wrapText="1"/>
    </xf>
    <xf numFmtId="164" fontId="4" fillId="17" borderId="27" xfId="0" applyNumberFormat="1" applyFont="1" applyFill="1" applyBorder="1" applyAlignment="1">
      <alignment horizontal="center" vertical="center" wrapText="1"/>
    </xf>
    <xf numFmtId="0" fontId="4" fillId="15" borderId="40" xfId="0" applyFont="1" applyFill="1" applyBorder="1" applyAlignment="1">
      <alignment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5" borderId="51" xfId="0" applyFont="1" applyFill="1" applyBorder="1" applyAlignment="1">
      <alignment horizontal="center" vertical="center" wrapText="1"/>
    </xf>
    <xf numFmtId="0" fontId="0" fillId="15" borderId="6" xfId="0" applyFill="1" applyBorder="1"/>
    <xf numFmtId="165" fontId="4" fillId="15" borderId="3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vertical="center" wrapText="1"/>
    </xf>
    <xf numFmtId="0" fontId="17" fillId="14" borderId="43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6" xfId="0" applyFont="1" applyFill="1" applyBorder="1" applyAlignment="1">
      <alignment horizontal="center" vertical="center" wrapText="1"/>
    </xf>
    <xf numFmtId="0" fontId="17" fillId="13" borderId="51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40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6" xfId="0" applyFont="1" applyFill="1" applyBorder="1" applyAlignment="1">
      <alignment horizontal="center" vertical="center" wrapText="1"/>
    </xf>
    <xf numFmtId="0" fontId="17" fillId="17" borderId="51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5" fontId="4" fillId="13" borderId="15" xfId="1" applyFont="1" applyFill="1" applyBorder="1" applyAlignment="1">
      <alignment horizontal="center" vertical="center" wrapText="1"/>
    </xf>
    <xf numFmtId="165" fontId="4" fillId="13" borderId="25" xfId="1" applyFont="1" applyFill="1" applyBorder="1" applyAlignment="1">
      <alignment horizontal="center" vertical="center" wrapText="1"/>
    </xf>
    <xf numFmtId="165" fontId="4" fillId="13" borderId="25" xfId="0" applyNumberFormat="1" applyFont="1" applyFill="1" applyBorder="1" applyAlignment="1">
      <alignment horizontal="center" vertical="center" wrapText="1"/>
    </xf>
    <xf numFmtId="165" fontId="4" fillId="13" borderId="26" xfId="0" applyNumberFormat="1" applyFont="1" applyFill="1" applyBorder="1" applyAlignment="1">
      <alignment horizontal="center" vertical="center" wrapText="1"/>
    </xf>
    <xf numFmtId="165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165" fontId="4" fillId="17" borderId="11" xfId="1" applyFont="1" applyFill="1" applyBorder="1" applyAlignment="1">
      <alignment horizontal="center" wrapText="1"/>
    </xf>
    <xf numFmtId="165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165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165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164" fontId="4" fillId="17" borderId="40" xfId="0" applyNumberFormat="1" applyFont="1" applyFill="1" applyBorder="1" applyAlignment="1">
      <alignment horizontal="right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164" fontId="4" fillId="13" borderId="40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6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165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165" fontId="16" fillId="13" borderId="11" xfId="0" applyNumberFormat="1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9" borderId="15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7" borderId="3" xfId="0" applyNumberFormat="1" applyFont="1" applyFill="1" applyBorder="1" applyAlignment="1">
      <alignment horizontal="center" vertical="center" wrapText="1"/>
    </xf>
    <xf numFmtId="164" fontId="4" fillId="9" borderId="10" xfId="0" applyNumberFormat="1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center" vertical="center" wrapText="1"/>
    </xf>
    <xf numFmtId="164" fontId="16" fillId="9" borderId="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justify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64" fontId="41" fillId="0" borderId="20" xfId="0" applyNumberFormat="1" applyFont="1" applyBorder="1" applyAlignment="1">
      <alignment horizontal="center" vertical="center" wrapText="1"/>
    </xf>
    <xf numFmtId="165" fontId="4" fillId="13" borderId="3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9" borderId="8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13" borderId="28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6" fillId="9" borderId="25" xfId="0" applyNumberFormat="1" applyFont="1" applyFill="1" applyBorder="1" applyAlignment="1">
      <alignment horizontal="center" vertical="center" wrapText="1"/>
    </xf>
    <xf numFmtId="165" fontId="16" fillId="9" borderId="4" xfId="0" applyNumberFormat="1" applyFont="1" applyFill="1" applyBorder="1" applyAlignment="1">
      <alignment horizontal="center" vertical="center" wrapText="1"/>
    </xf>
    <xf numFmtId="165" fontId="16" fillId="9" borderId="7" xfId="0" applyNumberFormat="1" applyFont="1" applyFill="1" applyBorder="1" applyAlignment="1">
      <alignment horizontal="center" vertical="center" wrapText="1"/>
    </xf>
    <xf numFmtId="165" fontId="4" fillId="9" borderId="30" xfId="0" applyNumberFormat="1" applyFont="1" applyFill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15" borderId="8" xfId="0" applyNumberFormat="1" applyFont="1" applyFill="1" applyBorder="1" applyAlignment="1">
      <alignment horizontal="center" vertical="center" wrapText="1"/>
    </xf>
    <xf numFmtId="170" fontId="14" fillId="12" borderId="5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5" fontId="2" fillId="0" borderId="14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165" fontId="4" fillId="0" borderId="11" xfId="0" applyNumberFormat="1" applyFont="1" applyBorder="1" applyAlignment="1">
      <alignment horizontal="center" wrapText="1"/>
    </xf>
    <xf numFmtId="165" fontId="4" fillId="0" borderId="11" xfId="0" applyNumberFormat="1" applyFont="1" applyBorder="1"/>
    <xf numFmtId="10" fontId="42" fillId="0" borderId="0" xfId="0" applyNumberFormat="1" applyFont="1"/>
    <xf numFmtId="10" fontId="42" fillId="0" borderId="14" xfId="0" applyNumberFormat="1" applyFont="1" applyBorder="1"/>
    <xf numFmtId="2" fontId="4" fillId="0" borderId="1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65" fontId="4" fillId="0" borderId="39" xfId="0" applyNumberFormat="1" applyFont="1" applyBorder="1" applyAlignment="1">
      <alignment vertical="center"/>
    </xf>
    <xf numFmtId="165" fontId="4" fillId="0" borderId="18" xfId="0" applyNumberFormat="1" applyFont="1" applyBorder="1" applyAlignment="1">
      <alignment vertical="center"/>
    </xf>
    <xf numFmtId="10" fontId="20" fillId="0" borderId="0" xfId="0" applyNumberFormat="1" applyFont="1" applyAlignment="1">
      <alignment horizontal="center" wrapText="1"/>
    </xf>
    <xf numFmtId="0" fontId="0" fillId="0" borderId="0" xfId="0" applyBorder="1"/>
    <xf numFmtId="2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vertical="center"/>
    </xf>
    <xf numFmtId="165" fontId="4" fillId="9" borderId="40" xfId="0" applyNumberFormat="1" applyFont="1" applyFill="1" applyBorder="1" applyAlignment="1">
      <alignment horizontal="center" vertical="center" wrapText="1"/>
    </xf>
    <xf numFmtId="165" fontId="4" fillId="0" borderId="39" xfId="1" applyFont="1" applyBorder="1" applyAlignment="1">
      <alignment horizontal="center" wrapText="1"/>
    </xf>
    <xf numFmtId="165" fontId="4" fillId="0" borderId="17" xfId="1" applyFont="1" applyBorder="1" applyAlignment="1">
      <alignment horizontal="center" wrapText="1"/>
    </xf>
    <xf numFmtId="165" fontId="4" fillId="0" borderId="18" xfId="1" applyFont="1" applyBorder="1" applyAlignment="1">
      <alignment horizontal="center" wrapText="1"/>
    </xf>
    <xf numFmtId="165" fontId="4" fillId="0" borderId="14" xfId="1" applyFont="1" applyBorder="1" applyAlignment="1">
      <alignment horizontal="center" wrapText="1"/>
    </xf>
    <xf numFmtId="165" fontId="4" fillId="0" borderId="14" xfId="1" applyFont="1" applyBorder="1" applyAlignment="1">
      <alignment horizontal="right" wrapText="1"/>
    </xf>
    <xf numFmtId="165" fontId="4" fillId="0" borderId="11" xfId="1" applyFont="1" applyBorder="1" applyAlignment="1">
      <alignment horizontal="center" wrapText="1"/>
    </xf>
    <xf numFmtId="165" fontId="4" fillId="0" borderId="11" xfId="1" applyFont="1" applyBorder="1" applyAlignment="1">
      <alignment horizontal="right" wrapText="1"/>
    </xf>
    <xf numFmtId="165" fontId="4" fillId="0" borderId="1" xfId="1" applyFont="1" applyBorder="1" applyAlignment="1">
      <alignment horizontal="center" wrapText="1"/>
    </xf>
    <xf numFmtId="165" fontId="4" fillId="0" borderId="1" xfId="1" applyFont="1" applyBorder="1" applyAlignment="1">
      <alignment horizontal="right" wrapText="1"/>
    </xf>
    <xf numFmtId="165" fontId="4" fillId="0" borderId="2" xfId="1" applyFont="1" applyBorder="1" applyAlignment="1">
      <alignment horizontal="center" wrapText="1"/>
    </xf>
    <xf numFmtId="165" fontId="4" fillId="0" borderId="2" xfId="1" applyFont="1" applyBorder="1" applyAlignment="1">
      <alignment horizontal="right" wrapText="1"/>
    </xf>
    <xf numFmtId="0" fontId="0" fillId="17" borderId="0" xfId="0" applyFill="1" applyProtection="1">
      <protection locked="0"/>
    </xf>
    <xf numFmtId="165" fontId="4" fillId="0" borderId="40" xfId="1" applyFont="1" applyBorder="1" applyAlignment="1">
      <alignment horizontal="center" wrapText="1"/>
    </xf>
    <xf numFmtId="165" fontId="4" fillId="0" borderId="4" xfId="1" applyFont="1" applyBorder="1" applyAlignment="1">
      <alignment horizontal="center" wrapText="1"/>
    </xf>
    <xf numFmtId="165" fontId="4" fillId="0" borderId="7" xfId="1" applyFont="1" applyBorder="1" applyAlignment="1">
      <alignment horizont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4" fontId="4" fillId="9" borderId="11" xfId="0" applyNumberFormat="1" applyFont="1" applyFill="1" applyBorder="1" applyAlignment="1">
      <alignment horizontal="center" vertical="center" wrapText="1"/>
    </xf>
    <xf numFmtId="0" fontId="17" fillId="19" borderId="36" xfId="0" applyFont="1" applyFill="1" applyBorder="1" applyAlignment="1">
      <alignment horizontal="center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4" fillId="11" borderId="0" xfId="0" applyFont="1" applyFill="1" applyBorder="1" applyAlignment="1"/>
    <xf numFmtId="164" fontId="4" fillId="9" borderId="9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vertical="center" wrapText="1"/>
    </xf>
    <xf numFmtId="2" fontId="4" fillId="17" borderId="2" xfId="0" applyNumberFormat="1" applyFont="1" applyFill="1" applyBorder="1" applyAlignment="1">
      <alignment horizontal="center" vertical="center" wrapText="1"/>
    </xf>
    <xf numFmtId="2" fontId="4" fillId="13" borderId="11" xfId="0" applyNumberFormat="1" applyFont="1" applyFill="1" applyBorder="1" applyAlignment="1">
      <alignment horizontal="center" vertical="center" wrapText="1"/>
    </xf>
    <xf numFmtId="2" fontId="4" fillId="15" borderId="11" xfId="0" applyNumberFormat="1" applyFont="1" applyFill="1" applyBorder="1" applyAlignment="1">
      <alignment horizontal="center" vertical="center" wrapText="1"/>
    </xf>
    <xf numFmtId="2" fontId="4" fillId="15" borderId="2" xfId="0" applyNumberFormat="1" applyFont="1" applyFill="1" applyBorder="1" applyAlignment="1">
      <alignment horizontal="center" vertical="center" wrapText="1"/>
    </xf>
    <xf numFmtId="2" fontId="4" fillId="9" borderId="15" xfId="0" applyNumberFormat="1" applyFont="1" applyFill="1" applyBorder="1" applyAlignment="1">
      <alignment horizontal="center" vertical="center" wrapText="1"/>
    </xf>
    <xf numFmtId="2" fontId="2" fillId="17" borderId="11" xfId="0" applyNumberFormat="1" applyFont="1" applyFill="1" applyBorder="1"/>
    <xf numFmtId="2" fontId="2" fillId="13" borderId="11" xfId="0" applyNumberFormat="1" applyFont="1" applyFill="1" applyBorder="1"/>
    <xf numFmtId="2" fontId="4" fillId="13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10" xfId="0" applyNumberFormat="1" applyFont="1" applyFill="1" applyBorder="1" applyAlignment="1">
      <alignment horizontal="center" vertical="center" wrapText="1"/>
    </xf>
    <xf numFmtId="49" fontId="25" fillId="20" borderId="14" xfId="0" applyNumberFormat="1" applyFont="1" applyFill="1" applyBorder="1" applyAlignment="1">
      <alignment horizontal="center" wrapText="1"/>
    </xf>
    <xf numFmtId="2" fontId="4" fillId="9" borderId="3" xfId="0" applyNumberFormat="1" applyFont="1" applyFill="1" applyBorder="1" applyAlignment="1">
      <alignment horizontal="center" vertical="center" wrapText="1"/>
    </xf>
    <xf numFmtId="2" fontId="17" fillId="17" borderId="11" xfId="0" applyNumberFormat="1" applyFont="1" applyFill="1" applyBorder="1" applyAlignment="1">
      <alignment horizontal="center" vertical="center" wrapText="1"/>
    </xf>
    <xf numFmtId="2" fontId="4" fillId="17" borderId="3" xfId="0" applyNumberFormat="1" applyFont="1" applyFill="1" applyBorder="1" applyAlignment="1">
      <alignment horizontal="center" vertical="center" wrapText="1"/>
    </xf>
    <xf numFmtId="2" fontId="17" fillId="13" borderId="11" xfId="0" applyNumberFormat="1" applyFont="1" applyFill="1" applyBorder="1" applyAlignment="1">
      <alignment horizontal="center" vertical="center" wrapText="1"/>
    </xf>
    <xf numFmtId="2" fontId="17" fillId="15" borderId="11" xfId="0" applyNumberFormat="1" applyFont="1" applyFill="1" applyBorder="1" applyAlignment="1">
      <alignment horizontal="center" vertical="center" wrapText="1"/>
    </xf>
    <xf numFmtId="2" fontId="17" fillId="9" borderId="10" xfId="0" applyNumberFormat="1" applyFont="1" applyFill="1" applyBorder="1" applyAlignment="1">
      <alignment horizontal="center" vertical="center" wrapText="1"/>
    </xf>
    <xf numFmtId="2" fontId="17" fillId="9" borderId="15" xfId="0" applyNumberFormat="1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>
      <alignment horizontal="center" vertical="center" wrapText="1"/>
    </xf>
    <xf numFmtId="165" fontId="4" fillId="17" borderId="15" xfId="0" applyNumberFormat="1" applyFont="1" applyFill="1" applyBorder="1" applyAlignment="1">
      <alignment horizontal="center" vertical="center" wrapText="1"/>
    </xf>
    <xf numFmtId="165" fontId="4" fillId="17" borderId="16" xfId="0" applyNumberFormat="1" applyFont="1" applyFill="1" applyBorder="1" applyAlignment="1">
      <alignment horizontal="center" vertical="center" wrapText="1"/>
    </xf>
    <xf numFmtId="0" fontId="44" fillId="4" borderId="19" xfId="0" applyFont="1" applyFill="1" applyBorder="1" applyAlignment="1">
      <alignment wrapText="1"/>
    </xf>
    <xf numFmtId="165" fontId="4" fillId="15" borderId="25" xfId="0" applyNumberFormat="1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2" fontId="4" fillId="0" borderId="18" xfId="0" applyNumberFormat="1" applyFont="1" applyBorder="1" applyAlignment="1">
      <alignment horizontal="center" wrapText="1"/>
    </xf>
    <xf numFmtId="164" fontId="4" fillId="9" borderId="6" xfId="0" applyNumberFormat="1" applyFont="1" applyFill="1" applyBorder="1" applyAlignment="1">
      <alignment horizontal="center" vertical="center" wrapText="1"/>
    </xf>
    <xf numFmtId="0" fontId="29" fillId="21" borderId="22" xfId="0" applyFont="1" applyFill="1" applyBorder="1"/>
    <xf numFmtId="0" fontId="47" fillId="0" borderId="22" xfId="0" applyFont="1" applyBorder="1" applyAlignment="1">
      <alignment horizontal="center" vertical="center" wrapText="1"/>
    </xf>
    <xf numFmtId="0" fontId="48" fillId="0" borderId="22" xfId="0" applyFont="1" applyBorder="1"/>
    <xf numFmtId="165" fontId="2" fillId="0" borderId="16" xfId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5" borderId="9" xfId="0" applyNumberFormat="1" applyFont="1" applyFill="1" applyBorder="1" applyAlignment="1">
      <alignment horizontal="center" vertical="center" wrapText="1"/>
    </xf>
    <xf numFmtId="2" fontId="4" fillId="17" borderId="1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wrapText="1"/>
    </xf>
    <xf numFmtId="165" fontId="4" fillId="13" borderId="9" xfId="0" applyNumberFormat="1" applyFont="1" applyFill="1" applyBorder="1" applyAlignment="1">
      <alignment horizontal="center" vertical="center" wrapText="1"/>
    </xf>
    <xf numFmtId="165" fontId="4" fillId="0" borderId="40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9" borderId="39" xfId="0" applyNumberFormat="1" applyFont="1" applyFill="1" applyBorder="1" applyAlignment="1">
      <alignment horizontal="center" vertical="center" wrapText="1"/>
    </xf>
    <xf numFmtId="0" fontId="29" fillId="21" borderId="22" xfId="0" applyFont="1" applyFill="1" applyBorder="1" applyAlignment="1">
      <alignment horizontal="left" vertical="top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2" fontId="4" fillId="13" borderId="5" xfId="0" applyNumberFormat="1" applyFont="1" applyFill="1" applyBorder="1" applyAlignment="1">
      <alignment horizontal="center" vertic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/>
    </xf>
    <xf numFmtId="165" fontId="4" fillId="13" borderId="6" xfId="0" applyNumberFormat="1" applyFont="1" applyFill="1" applyBorder="1" applyAlignment="1">
      <alignment horizontal="center" vertical="center"/>
    </xf>
    <xf numFmtId="2" fontId="4" fillId="15" borderId="5" xfId="0" applyNumberFormat="1" applyFont="1" applyFill="1" applyBorder="1" applyAlignment="1">
      <alignment horizontal="center" vertical="center" wrapText="1"/>
    </xf>
    <xf numFmtId="2" fontId="4" fillId="15" borderId="10" xfId="0" applyNumberFormat="1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 wrapText="1"/>
    </xf>
    <xf numFmtId="165" fontId="4" fillId="15" borderId="10" xfId="0" applyNumberFormat="1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/>
    </xf>
    <xf numFmtId="165" fontId="4" fillId="15" borderId="10" xfId="0" applyNumberFormat="1" applyFont="1" applyFill="1" applyBorder="1" applyAlignment="1">
      <alignment horizontal="center" vertical="center"/>
    </xf>
    <xf numFmtId="165" fontId="4" fillId="17" borderId="5" xfId="0" applyNumberFormat="1" applyFont="1" applyFill="1" applyBorder="1" applyAlignment="1">
      <alignment horizontal="center" vertical="center"/>
    </xf>
    <xf numFmtId="165" fontId="4" fillId="17" borderId="6" xfId="0" applyNumberFormat="1" applyFont="1" applyFill="1" applyBorder="1" applyAlignment="1">
      <alignment horizontal="center" vertical="center"/>
    </xf>
    <xf numFmtId="165" fontId="4" fillId="17" borderId="5" xfId="0" applyNumberFormat="1" applyFont="1" applyFill="1" applyBorder="1" applyAlignment="1">
      <alignment horizontal="center" vertical="center" wrapText="1"/>
    </xf>
    <xf numFmtId="165" fontId="4" fillId="17" borderId="6" xfId="0" applyNumberFormat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/>
    </xf>
    <xf numFmtId="2" fontId="4" fillId="15" borderId="6" xfId="0" applyNumberFormat="1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165" fontId="24" fillId="3" borderId="5" xfId="1" applyFont="1" applyFill="1" applyBorder="1" applyAlignment="1">
      <alignment horizontal="center" vertical="center" wrapText="1"/>
    </xf>
    <xf numFmtId="165" fontId="24" fillId="3" borderId="10" xfId="1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65" fontId="24" fillId="3" borderId="11" xfId="1" applyFont="1" applyFill="1" applyBorder="1" applyAlignment="1">
      <alignment horizontal="center" vertical="center" wrapText="1"/>
    </xf>
    <xf numFmtId="165" fontId="24" fillId="3" borderId="3" xfId="1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7" fillId="7" borderId="32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2" fontId="4" fillId="13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44" fillId="4" borderId="30" xfId="0" applyFont="1" applyFill="1" applyBorder="1" applyAlignment="1">
      <alignment horizontal="center"/>
    </xf>
    <xf numFmtId="0" fontId="4" fillId="15" borderId="6" xfId="0" applyFont="1" applyFill="1" applyBorder="1" applyAlignment="1">
      <alignment horizontal="center" vertical="center" wrapText="1"/>
    </xf>
    <xf numFmtId="2" fontId="4" fillId="15" borderId="12" xfId="0" applyNumberFormat="1" applyFont="1" applyFill="1" applyBorder="1" applyAlignment="1">
      <alignment horizontal="center" vertical="center" wrapText="1"/>
    </xf>
    <xf numFmtId="2" fontId="4" fillId="15" borderId="30" xfId="0" applyNumberFormat="1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4" fillId="4" borderId="30" xfId="0" applyFont="1" applyFill="1" applyBorder="1" applyAlignment="1">
      <alignment horizontal="center" wrapText="1"/>
    </xf>
    <xf numFmtId="0" fontId="44" fillId="4" borderId="19" xfId="0" applyFont="1" applyFill="1" applyBorder="1" applyAlignment="1">
      <alignment horizontal="center" wrapText="1"/>
    </xf>
    <xf numFmtId="0" fontId="24" fillId="3" borderId="61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 wrapText="1"/>
    </xf>
    <xf numFmtId="0" fontId="6" fillId="8" borderId="64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4" fillId="4" borderId="59" xfId="0" applyFont="1" applyFill="1" applyBorder="1" applyAlignment="1">
      <alignment horizontal="left" wrapText="1"/>
    </xf>
    <xf numFmtId="0" fontId="44" fillId="4" borderId="21" xfId="0" applyFont="1" applyFill="1" applyBorder="1" applyAlignment="1">
      <alignment horizontal="left" wrapText="1"/>
    </xf>
    <xf numFmtId="165" fontId="4" fillId="13" borderId="5" xfId="1" applyFont="1" applyFill="1" applyBorder="1" applyAlignment="1">
      <alignment horizontal="center" vertical="center"/>
    </xf>
    <xf numFmtId="165" fontId="4" fillId="13" borderId="6" xfId="1" applyFont="1" applyFill="1" applyBorder="1" applyAlignment="1">
      <alignment horizontal="center" vertical="center"/>
    </xf>
    <xf numFmtId="165" fontId="4" fillId="15" borderId="5" xfId="1" applyFont="1" applyFill="1" applyBorder="1" applyAlignment="1">
      <alignment horizontal="center" vertical="center"/>
    </xf>
    <xf numFmtId="165" fontId="4" fillId="15" borderId="10" xfId="1" applyFont="1" applyFill="1" applyBorder="1" applyAlignment="1">
      <alignment horizontal="center" vertical="center"/>
    </xf>
    <xf numFmtId="165" fontId="4" fillId="17" borderId="5" xfId="1" applyFont="1" applyFill="1" applyBorder="1" applyAlignment="1">
      <alignment horizontal="center" vertical="center"/>
    </xf>
    <xf numFmtId="165" fontId="4" fillId="17" borderId="6" xfId="1" applyFont="1" applyFill="1" applyBorder="1" applyAlignment="1">
      <alignment horizontal="center" vertical="center"/>
    </xf>
    <xf numFmtId="165" fontId="4" fillId="17" borderId="5" xfId="1" applyFont="1" applyFill="1" applyBorder="1" applyAlignment="1">
      <alignment horizontal="center" vertical="center" wrapText="1"/>
    </xf>
    <xf numFmtId="165" fontId="4" fillId="17" borderId="6" xfId="1" applyFont="1" applyFill="1" applyBorder="1" applyAlignment="1">
      <alignment horizontal="center" vertical="center" wrapText="1"/>
    </xf>
    <xf numFmtId="165" fontId="4" fillId="13" borderId="5" xfId="1" applyFont="1" applyFill="1" applyBorder="1" applyAlignment="1">
      <alignment horizontal="center" vertical="center" wrapText="1"/>
    </xf>
    <xf numFmtId="165" fontId="4" fillId="13" borderId="10" xfId="1" applyFont="1" applyFill="1" applyBorder="1" applyAlignment="1">
      <alignment horizontal="center" vertical="center" wrapText="1"/>
    </xf>
    <xf numFmtId="165" fontId="4" fillId="15" borderId="5" xfId="1" applyFont="1" applyFill="1" applyBorder="1" applyAlignment="1">
      <alignment horizontal="center" vertical="center" wrapText="1"/>
    </xf>
    <xf numFmtId="165" fontId="4" fillId="15" borderId="10" xfId="1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44" fillId="4" borderId="59" xfId="0" applyFont="1" applyFill="1" applyBorder="1" applyAlignment="1">
      <alignment horizontal="right"/>
    </xf>
    <xf numFmtId="0" fontId="44" fillId="4" borderId="21" xfId="0" applyFont="1" applyFill="1" applyBorder="1" applyAlignment="1">
      <alignment horizontal="right"/>
    </xf>
    <xf numFmtId="0" fontId="6" fillId="8" borderId="52" xfId="0" applyFont="1" applyFill="1" applyBorder="1" applyAlignment="1">
      <alignment horizontal="center"/>
    </xf>
    <xf numFmtId="0" fontId="45" fillId="4" borderId="12" xfId="0" applyFont="1" applyFill="1" applyBorder="1" applyAlignment="1">
      <alignment horizontal="left"/>
    </xf>
    <xf numFmtId="0" fontId="45" fillId="4" borderId="13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center" vertical="center"/>
    </xf>
    <xf numFmtId="165" fontId="24" fillId="3" borderId="6" xfId="1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165" fontId="24" fillId="3" borderId="2" xfId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165" fontId="4" fillId="13" borderId="10" xfId="1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23" fillId="0" borderId="59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165" fontId="21" fillId="0" borderId="22" xfId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41" fillId="0" borderId="5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5" fillId="0" borderId="5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165" fontId="22" fillId="0" borderId="22" xfId="1" applyFont="1" applyBorder="1" applyAlignment="1">
      <alignment horizontal="center" vertical="center" wrapText="1"/>
    </xf>
    <xf numFmtId="165" fontId="22" fillId="0" borderId="53" xfId="1" applyFont="1" applyBorder="1" applyAlignment="1">
      <alignment horizontal="center" wrapText="1"/>
    </xf>
    <xf numFmtId="165" fontId="22" fillId="0" borderId="66" xfId="1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0" fontId="3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99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3"/>
  <sheetViews>
    <sheetView tabSelected="1" zoomScale="66" zoomScaleNormal="66" zoomScaleSheetLayoutView="66" workbookViewId="0">
      <selection activeCell="B13" sqref="B13"/>
    </sheetView>
  </sheetViews>
  <sheetFormatPr baseColWidth="10" defaultRowHeight="12.75" x14ac:dyDescent="0.2"/>
  <cols>
    <col min="1" max="1" width="11.28515625" customWidth="1"/>
    <col min="2" max="2" width="51.42578125" bestFit="1" customWidth="1"/>
    <col min="3" max="3" width="10.140625" customWidth="1"/>
    <col min="4" max="4" width="11.7109375" customWidth="1"/>
    <col min="5" max="5" width="13" hidden="1" customWidth="1"/>
    <col min="6" max="6" width="11.42578125" hidden="1" customWidth="1"/>
    <col min="7" max="7" width="13.5703125" hidden="1" customWidth="1"/>
    <col min="9" max="9" width="14" customWidth="1"/>
    <col min="10" max="10" width="28.5703125" customWidth="1"/>
    <col min="11" max="11" width="16.42578125" customWidth="1"/>
    <col min="12" max="12" width="17.28515625" customWidth="1"/>
    <col min="13" max="13" width="17.7109375" customWidth="1"/>
    <col min="14" max="14" width="17" customWidth="1"/>
    <col min="15" max="15" width="18.85546875" customWidth="1"/>
    <col min="16" max="16" width="19.140625" customWidth="1"/>
    <col min="17" max="17" width="16.5703125" customWidth="1"/>
    <col min="18" max="18" width="7.42578125" hidden="1" customWidth="1"/>
    <col min="19" max="19" width="15.28515625" customWidth="1"/>
    <col min="20" max="20" width="15" customWidth="1"/>
    <col min="21" max="21" width="14.28515625" customWidth="1"/>
    <col min="22" max="22" width="14.7109375" customWidth="1"/>
    <col min="23" max="23" width="13.7109375" customWidth="1"/>
    <col min="24" max="24" width="16.140625" bestFit="1" customWidth="1"/>
    <col min="25" max="25" width="13.85546875" customWidth="1"/>
    <col min="26" max="26" width="15.42578125" customWidth="1"/>
    <col min="27" max="27" width="14.85546875" hidden="1" customWidth="1"/>
    <col min="28" max="28" width="15.28515625" customWidth="1"/>
    <col min="29" max="29" width="17.85546875" customWidth="1"/>
    <col min="30" max="30" width="16.140625" customWidth="1"/>
    <col min="31" max="31" width="15.42578125" customWidth="1"/>
    <col min="32" max="32" width="16.28515625" customWidth="1"/>
    <col min="33" max="33" width="16.7109375" hidden="1" customWidth="1"/>
    <col min="34" max="34" width="19.28515625" customWidth="1"/>
    <col min="35" max="36" width="15.140625" customWidth="1"/>
    <col min="37" max="37" width="13" customWidth="1"/>
    <col min="38" max="38" width="11.85546875" bestFit="1" customWidth="1"/>
    <col min="39" max="39" width="13.28515625" bestFit="1" customWidth="1"/>
    <col min="40" max="40" width="15.28515625" bestFit="1" customWidth="1"/>
  </cols>
  <sheetData>
    <row r="1" spans="1:43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8"/>
      <c r="AD1" s="13"/>
      <c r="AE1" s="13"/>
      <c r="AF1" s="13"/>
      <c r="AG1" s="13"/>
      <c r="AH1" s="608"/>
      <c r="AI1" s="13"/>
      <c r="AJ1" s="13"/>
      <c r="AK1" s="13"/>
      <c r="AL1" s="13"/>
      <c r="AM1" s="13"/>
    </row>
    <row r="2" spans="1:43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8"/>
      <c r="AD2" s="13"/>
      <c r="AE2" s="13"/>
      <c r="AF2" s="13"/>
      <c r="AG2" s="13"/>
      <c r="AH2" s="608"/>
      <c r="AI2" s="13"/>
      <c r="AJ2" s="13"/>
      <c r="AK2" s="13"/>
      <c r="AL2" s="13"/>
      <c r="AM2" s="13"/>
    </row>
    <row r="3" spans="1:43" s="1" customFormat="1" x14ac:dyDescent="0.2">
      <c r="A3" s="10"/>
      <c r="C3" s="13"/>
      <c r="D3" s="13"/>
      <c r="E3" s="13"/>
      <c r="F3" s="13"/>
      <c r="G3" s="13"/>
      <c r="H3" s="13"/>
      <c r="I3" s="13"/>
      <c r="J3" s="13"/>
      <c r="K3" s="702" t="s">
        <v>82</v>
      </c>
      <c r="L3" s="702"/>
      <c r="M3" s="702"/>
      <c r="N3" s="702"/>
      <c r="O3" s="702"/>
      <c r="P3" s="702"/>
      <c r="Q3" s="702"/>
      <c r="R3" s="702"/>
      <c r="S3" s="702"/>
      <c r="T3" s="702"/>
      <c r="U3" s="702"/>
      <c r="V3" s="702"/>
      <c r="W3" s="702"/>
      <c r="X3" s="702"/>
      <c r="Y3" s="702"/>
      <c r="Z3" s="702"/>
      <c r="AA3" s="702"/>
      <c r="AB3" s="13"/>
      <c r="AC3" s="608"/>
      <c r="AD3" s="13"/>
      <c r="AE3" s="13"/>
      <c r="AF3" s="13"/>
      <c r="AG3" s="13"/>
      <c r="AH3" s="608"/>
      <c r="AI3" s="13"/>
      <c r="AJ3" s="13"/>
      <c r="AK3" s="13"/>
      <c r="AL3" s="13"/>
      <c r="AM3" s="13"/>
    </row>
    <row r="4" spans="1:43" s="1" customFormat="1" x14ac:dyDescent="0.2">
      <c r="A4" s="10"/>
      <c r="C4" s="13"/>
      <c r="D4" s="13"/>
      <c r="E4" s="13"/>
      <c r="F4" s="13"/>
      <c r="G4" s="13"/>
      <c r="H4" s="13"/>
      <c r="I4" s="13"/>
      <c r="J4" s="13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13"/>
      <c r="AC4" s="608"/>
      <c r="AD4" s="13"/>
      <c r="AE4" s="13"/>
      <c r="AF4" s="13"/>
      <c r="AG4" s="13"/>
      <c r="AH4" s="608"/>
      <c r="AI4" s="13"/>
      <c r="AJ4" s="13"/>
      <c r="AK4" s="13"/>
      <c r="AL4" s="13"/>
      <c r="AM4" s="13"/>
    </row>
    <row r="5" spans="1:43" s="1" customFormat="1" x14ac:dyDescent="0.2">
      <c r="A5" s="10"/>
      <c r="C5" s="13"/>
      <c r="D5" s="13"/>
      <c r="E5" s="13"/>
      <c r="F5" s="13"/>
      <c r="G5" s="13"/>
      <c r="H5" s="13"/>
      <c r="I5" s="13"/>
      <c r="J5" s="13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13"/>
      <c r="AC5" s="608"/>
      <c r="AD5" s="13"/>
      <c r="AE5" s="13"/>
      <c r="AF5" s="13"/>
      <c r="AG5" s="13"/>
      <c r="AH5" s="608"/>
      <c r="AI5" s="13"/>
      <c r="AJ5" s="13"/>
      <c r="AK5" s="13"/>
      <c r="AL5" s="13"/>
      <c r="AM5" s="13"/>
    </row>
    <row r="6" spans="1:43" s="1" customFormat="1" ht="27.75" x14ac:dyDescent="0.4">
      <c r="A6" s="703" t="s">
        <v>198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  <c r="AK6" s="13"/>
      <c r="AL6" s="13"/>
      <c r="AM6" s="13"/>
    </row>
    <row r="7" spans="1:43" s="1" customFormat="1" ht="18.75" thickBot="1" x14ac:dyDescent="0.3">
      <c r="A7" s="704" t="s">
        <v>83</v>
      </c>
      <c r="B7" s="705"/>
      <c r="C7" s="705"/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5"/>
      <c r="Q7" s="705"/>
      <c r="R7" s="705"/>
      <c r="S7" s="705"/>
      <c r="T7" s="705"/>
      <c r="U7" s="705"/>
      <c r="V7" s="705"/>
      <c r="W7" s="705"/>
      <c r="X7" s="705"/>
      <c r="Y7" s="705"/>
      <c r="Z7" s="705"/>
      <c r="AA7" s="705"/>
      <c r="AB7" s="705"/>
      <c r="AC7" s="705"/>
      <c r="AD7" s="705"/>
      <c r="AE7" s="705"/>
      <c r="AF7" s="705"/>
      <c r="AG7" s="705"/>
      <c r="AH7" s="705"/>
      <c r="AI7" s="705"/>
      <c r="AJ7" s="705"/>
      <c r="AK7" s="13"/>
      <c r="AL7" s="13"/>
      <c r="AM7" s="13"/>
    </row>
    <row r="8" spans="1:43" ht="21" thickBot="1" x14ac:dyDescent="0.35">
      <c r="A8" s="94" t="s">
        <v>123</v>
      </c>
      <c r="B8" s="95"/>
      <c r="C8" s="95"/>
      <c r="D8" s="95"/>
      <c r="E8" s="95"/>
      <c r="F8" s="95"/>
      <c r="G8" s="132"/>
      <c r="H8" s="132"/>
      <c r="I8" s="132"/>
      <c r="J8" s="132"/>
      <c r="K8" s="132"/>
      <c r="L8" s="132"/>
      <c r="M8" s="132"/>
      <c r="N8" s="132"/>
      <c r="O8" s="132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706" t="s">
        <v>137</v>
      </c>
      <c r="AC8" s="706"/>
      <c r="AD8" s="706"/>
      <c r="AE8" s="706"/>
      <c r="AF8" s="706"/>
      <c r="AG8" s="706"/>
      <c r="AH8" s="706"/>
      <c r="AI8" s="706"/>
      <c r="AJ8" s="706"/>
      <c r="AL8" s="567">
        <v>0.23499999999999999</v>
      </c>
    </row>
    <row r="9" spans="1:43" s="2" customFormat="1" ht="21.75" customHeight="1" thickBot="1" x14ac:dyDescent="0.25">
      <c r="A9" s="686" t="s">
        <v>1</v>
      </c>
      <c r="B9" s="686" t="s">
        <v>0</v>
      </c>
      <c r="C9" s="658" t="s">
        <v>77</v>
      </c>
      <c r="D9" s="658" t="s">
        <v>119</v>
      </c>
      <c r="E9" s="658" t="s">
        <v>127</v>
      </c>
      <c r="F9" s="658" t="s">
        <v>113</v>
      </c>
      <c r="G9" s="658" t="s">
        <v>124</v>
      </c>
      <c r="H9" s="658" t="s">
        <v>79</v>
      </c>
      <c r="I9" s="658" t="s">
        <v>147</v>
      </c>
      <c r="J9" s="684" t="s">
        <v>146</v>
      </c>
      <c r="K9" s="684" t="s">
        <v>121</v>
      </c>
      <c r="L9" s="684" t="s">
        <v>145</v>
      </c>
      <c r="M9" s="684" t="s">
        <v>146</v>
      </c>
      <c r="N9" s="686" t="s">
        <v>85</v>
      </c>
      <c r="O9" s="686" t="s">
        <v>120</v>
      </c>
      <c r="P9" s="697" t="s">
        <v>86</v>
      </c>
      <c r="Q9" s="686" t="s">
        <v>101</v>
      </c>
      <c r="R9" s="686" t="s">
        <v>125</v>
      </c>
      <c r="S9" s="658" t="s">
        <v>206</v>
      </c>
      <c r="T9" s="686" t="s">
        <v>69</v>
      </c>
      <c r="U9" s="701" t="s">
        <v>59</v>
      </c>
      <c r="V9" s="701"/>
      <c r="W9" s="701"/>
      <c r="X9" s="701"/>
      <c r="Y9" s="682"/>
      <c r="Z9" s="682" t="s">
        <v>68</v>
      </c>
      <c r="AA9" s="658" t="s">
        <v>89</v>
      </c>
      <c r="AB9" s="658" t="s">
        <v>88</v>
      </c>
      <c r="AC9" s="658" t="s">
        <v>207</v>
      </c>
      <c r="AD9" s="658" t="s">
        <v>87</v>
      </c>
      <c r="AE9" s="658" t="s">
        <v>91</v>
      </c>
      <c r="AF9" s="658" t="s">
        <v>90</v>
      </c>
      <c r="AG9" s="658" t="s">
        <v>190</v>
      </c>
      <c r="AH9" s="658" t="s">
        <v>196</v>
      </c>
      <c r="AI9" s="696" t="s">
        <v>174</v>
      </c>
      <c r="AJ9" s="658" t="s">
        <v>92</v>
      </c>
      <c r="AK9" s="658" t="s">
        <v>186</v>
      </c>
      <c r="AL9" s="682" t="s">
        <v>68</v>
      </c>
      <c r="AM9" s="658" t="s">
        <v>188</v>
      </c>
      <c r="AN9" s="658" t="s">
        <v>189</v>
      </c>
    </row>
    <row r="10" spans="1:43" s="2" customFormat="1" ht="90.75" customHeight="1" thickBot="1" x14ac:dyDescent="0.25">
      <c r="A10" s="687"/>
      <c r="B10" s="687"/>
      <c r="C10" s="679"/>
      <c r="D10" s="679"/>
      <c r="E10" s="679"/>
      <c r="F10" s="679"/>
      <c r="G10" s="679"/>
      <c r="H10" s="679"/>
      <c r="I10" s="679"/>
      <c r="J10" s="685"/>
      <c r="K10" s="685"/>
      <c r="L10" s="685"/>
      <c r="M10" s="685"/>
      <c r="N10" s="687"/>
      <c r="O10" s="687"/>
      <c r="P10" s="698"/>
      <c r="Q10" s="687"/>
      <c r="R10" s="687"/>
      <c r="S10" s="679"/>
      <c r="T10" s="687"/>
      <c r="U10" s="7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683"/>
      <c r="AA10" s="679"/>
      <c r="AB10" s="679"/>
      <c r="AC10" s="679"/>
      <c r="AD10" s="679"/>
      <c r="AE10" s="679"/>
      <c r="AF10" s="679"/>
      <c r="AG10" s="679"/>
      <c r="AH10" s="659"/>
      <c r="AI10" s="679"/>
      <c r="AJ10" s="679"/>
      <c r="AK10" s="679"/>
      <c r="AL10" s="683"/>
      <c r="AM10" s="679"/>
      <c r="AN10" s="679"/>
    </row>
    <row r="11" spans="1:43" s="1" customFormat="1" ht="24.75" customHeight="1" x14ac:dyDescent="0.2">
      <c r="A11" s="335">
        <v>528</v>
      </c>
      <c r="B11" s="336" t="s">
        <v>2</v>
      </c>
      <c r="C11" s="337">
        <v>0</v>
      </c>
      <c r="D11" s="337"/>
      <c r="E11" s="338"/>
      <c r="F11" s="339"/>
      <c r="G11" s="340">
        <v>1783</v>
      </c>
      <c r="H11" s="337">
        <f t="shared" ref="H11:H21" si="0">SUM(G11:G11)</f>
        <v>1783</v>
      </c>
      <c r="I11" s="613"/>
      <c r="J11" s="341"/>
      <c r="K11" s="342">
        <f>H11*'DATOS REFERENCIALES'!$C$4</f>
        <v>17109.311400000002</v>
      </c>
      <c r="L11" s="342"/>
      <c r="M11" s="342"/>
      <c r="N11" s="343">
        <f>LOOKUP(C11,'TABLA ANTIG.'!$A$4:$A$39,'TABLA ANTIG.'!$B$4:$B$39)*(K11)</f>
        <v>0</v>
      </c>
      <c r="O11" s="344">
        <f>(K11)*0.1</f>
        <v>1710.9311400000004</v>
      </c>
      <c r="P11" s="342">
        <f>'DATOS REFERENCIALES'!$C$8</f>
        <v>6382</v>
      </c>
      <c r="Q11" s="345">
        <f>LOOKUP(C11,'TABLA ANTIG.'!$A$4:$A$39,'TABLA ANTIG.'!$B$4:$B$39)*(P11)</f>
        <v>0</v>
      </c>
      <c r="R11" s="346">
        <v>0</v>
      </c>
      <c r="S11" s="344">
        <f>IF(C11&gt;11,IF(H11&gt;1134,'DATOS REFERENCIALES'!$C$18,'DATOS REFERENCIALES'!$C$18/1135*H11),0)</f>
        <v>0</v>
      </c>
      <c r="T11" s="344">
        <f>K11+L11+M11+N11+O11+P11+Q11+R11+S11</f>
        <v>25202.242540000003</v>
      </c>
      <c r="U11" s="347">
        <f t="shared" ref="U11:U21" si="1">$T11*11%</f>
        <v>2772.2466794000002</v>
      </c>
      <c r="V11" s="344">
        <f t="shared" ref="V11:W21" si="2">$T11*3%</f>
        <v>756.06727620000004</v>
      </c>
      <c r="W11" s="347">
        <f t="shared" si="2"/>
        <v>756.06727620000004</v>
      </c>
      <c r="X11" s="344">
        <f>$T11*2%</f>
        <v>504.04485080000006</v>
      </c>
      <c r="Y11" s="344">
        <f t="shared" ref="Y11:Y21" si="3">$T11*4.5%</f>
        <v>1134.1009143000001</v>
      </c>
      <c r="Z11" s="344">
        <f t="shared" ref="Z11:Z21" si="4">SUM(U11:Y11)</f>
        <v>5922.5269969000001</v>
      </c>
      <c r="AA11" s="348">
        <f t="shared" ref="AA11:AA21" si="5">T11-Z11</f>
        <v>19279.715543100003</v>
      </c>
      <c r="AB11" s="347">
        <f>'DATOS REFERENCIALES'!$C$10</f>
        <v>2270</v>
      </c>
      <c r="AC11" s="347">
        <f>IF(C11&lt;12,IF(H11&gt;1134,'DATOS REFERENCIALES'!$C$17,'DATOS REFERENCIALES'!$C$17/1135*H11),0)</f>
        <v>2584</v>
      </c>
      <c r="AD11" s="344">
        <f>IF((IF(H11&gt;1134,('DATOS REFERENCIALES'!$C$9-(T11-U11-V11-W11-X11-Y11+AB11+AC11)),(('DATOS REFERENCIALES'!$C$9/1135)*H11)-(K11+N11+O11+P11+Q11+S11-U11-V11-W11-X11-Y11+AB11+AC11)))&lt;0,0,IF(H11&gt;1134,(('DATOS REFERENCIALES'!$C$9)-(T11-U11-V11-W11-X11-Y11+AB11+AC11)),(('DATOS REFERENCIALES'!$C$9/1135)*H11)-(K11+N11+O11+P11+Q11+S11-U11-V11-W11-X11-Y11+AB11+AC11)))</f>
        <v>4404.2844568999972</v>
      </c>
      <c r="AE11" s="343">
        <f t="shared" ref="AE11:AE21" si="6">SUM(AA11:AD11)</f>
        <v>28538</v>
      </c>
      <c r="AF11" s="349">
        <f>'DATOS REFERENCIALES'!$C$13</f>
        <v>1210</v>
      </c>
      <c r="AG11" s="349" t="e">
        <f>IF($H11&gt;1119,'DATOS REFERENCIALES'!#REF!,'DATOS REFERENCIALES'!#REF!/1120*$H11)</f>
        <v>#REF!</v>
      </c>
      <c r="AH11" s="349">
        <f>+AF11</f>
        <v>1210</v>
      </c>
      <c r="AI11" s="344">
        <f>'DATOS REFERENCIALES'!$C$12</f>
        <v>210</v>
      </c>
      <c r="AJ11" s="676">
        <f>+AE11+AE12+AF11+AI11+AH11</f>
        <v>33831.602116021</v>
      </c>
      <c r="AK11" s="660">
        <f>'DATOS REFERENCIALES'!C16</f>
        <v>2022.3050000000001</v>
      </c>
      <c r="AL11" s="676">
        <f>AK11*$AL$8</f>
        <v>475.24167499999999</v>
      </c>
      <c r="AM11" s="676">
        <f>AK11-AL11</f>
        <v>1547.0633250000001</v>
      </c>
      <c r="AN11" s="674">
        <f>AJ11+AM11</f>
        <v>35378.665441021003</v>
      </c>
      <c r="AO11" s="688" t="s">
        <v>93</v>
      </c>
      <c r="AP11" s="689"/>
      <c r="AQ11" s="690"/>
    </row>
    <row r="12" spans="1:43" s="1" customFormat="1" ht="24" customHeight="1" thickBot="1" x14ac:dyDescent="0.25">
      <c r="A12" s="350">
        <v>528</v>
      </c>
      <c r="B12" s="351" t="s">
        <v>2</v>
      </c>
      <c r="C12" s="507">
        <f>IF(C11&gt;0,C11,0)</f>
        <v>0</v>
      </c>
      <c r="D12" s="352"/>
      <c r="E12" s="353"/>
      <c r="F12" s="354"/>
      <c r="G12" s="355">
        <v>1783</v>
      </c>
      <c r="H12" s="352"/>
      <c r="I12" s="614">
        <f>133.73/'DATOS REFERENCIALES'!$I$4*'DATOS REFERENCIALES'!$J$4</f>
        <v>222.88333333333333</v>
      </c>
      <c r="J12" s="356" t="s">
        <v>149</v>
      </c>
      <c r="K12" s="356"/>
      <c r="L12" s="357">
        <f>I12*'DATOS REFERENCIALES'!$C$4</f>
        <v>2138.7438900000002</v>
      </c>
      <c r="M12" s="357">
        <f>IF(J12='DATOS REFERENCIALES'!$C$31,INICIAL!K11*'DATOS REFERENCIALES'!$D$31,IF(J12='DATOS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REFERENCIALES'!$D$37*INICIAL!K11),IF(J12='DATOS REFERENCIALES'!$C$38,('DATOS REFERENCIALES'!$D$38*INICIAL!K11),0))))))))</f>
        <v>1026.5586840000001</v>
      </c>
      <c r="N12" s="358">
        <f>LOOKUP(C12,'TABLA ANTIG.'!$A$4:$A$39,'TABLA ANTIG.'!$B$4:$B$39)*(L12+M12)</f>
        <v>0</v>
      </c>
      <c r="O12" s="359">
        <f>(L12+M12)*0.1</f>
        <v>316.53025740000004</v>
      </c>
      <c r="P12" s="357"/>
      <c r="Q12" s="360"/>
      <c r="R12" s="361"/>
      <c r="S12" s="359"/>
      <c r="T12" s="359">
        <f>L12+M12+O12+N12+P12+Q12+R12+S12</f>
        <v>3481.8328314000005</v>
      </c>
      <c r="U12" s="362">
        <f t="shared" si="1"/>
        <v>383.00161145400006</v>
      </c>
      <c r="V12" s="359">
        <f t="shared" si="2"/>
        <v>104.45498494200001</v>
      </c>
      <c r="W12" s="362">
        <f t="shared" si="2"/>
        <v>104.45498494200001</v>
      </c>
      <c r="X12" s="359">
        <f>$T12*2%</f>
        <v>69.636656628000011</v>
      </c>
      <c r="Y12" s="359">
        <f t="shared" si="3"/>
        <v>156.68247741300002</v>
      </c>
      <c r="Z12" s="359">
        <f>SUM(U12:Y12)</f>
        <v>818.23071537900012</v>
      </c>
      <c r="AA12" s="363">
        <f>T12-Z12</f>
        <v>2663.6021160210003</v>
      </c>
      <c r="AB12" s="362"/>
      <c r="AC12" s="362"/>
      <c r="AD12" s="359"/>
      <c r="AE12" s="358">
        <f t="shared" si="6"/>
        <v>2663.6021160210003</v>
      </c>
      <c r="AF12" s="364"/>
      <c r="AG12" s="364"/>
      <c r="AH12" s="364"/>
      <c r="AI12" s="359"/>
      <c r="AJ12" s="677"/>
      <c r="AK12" s="661"/>
      <c r="AL12" s="677"/>
      <c r="AM12" s="677"/>
      <c r="AN12" s="675"/>
      <c r="AO12" s="691"/>
      <c r="AP12" s="692"/>
      <c r="AQ12" s="693"/>
    </row>
    <row r="13" spans="1:43" s="1" customFormat="1" ht="20.25" customHeight="1" x14ac:dyDescent="0.2">
      <c r="A13" s="274">
        <v>579</v>
      </c>
      <c r="B13" s="275" t="s">
        <v>3</v>
      </c>
      <c r="C13" s="276">
        <v>0</v>
      </c>
      <c r="D13" s="276"/>
      <c r="E13" s="276"/>
      <c r="F13" s="276"/>
      <c r="G13" s="277">
        <v>1545</v>
      </c>
      <c r="H13" s="276">
        <f t="shared" si="0"/>
        <v>1545</v>
      </c>
      <c r="I13" s="615"/>
      <c r="J13" s="276"/>
      <c r="K13" s="278">
        <f>H13*'DATOS REFERENCIALES'!$C$4</f>
        <v>14825.511</v>
      </c>
      <c r="L13" s="278"/>
      <c r="M13" s="279"/>
      <c r="N13" s="280">
        <f>LOOKUP(C13,'TABLA ANTIG.'!$A$4:$A$39,'TABLA ANTIG.'!$B$4:$B$39)*(K13)</f>
        <v>0</v>
      </c>
      <c r="O13" s="280">
        <f>(K13)*0.1</f>
        <v>1482.5511000000001</v>
      </c>
      <c r="P13" s="281">
        <f>'DATOS REFERENCIALES'!$C$8</f>
        <v>6382</v>
      </c>
      <c r="Q13" s="280">
        <f>LOOKUP(C13,'TABLA ANTIG.'!$A$4:$A$39,'TABLA ANTIG.'!$B$4:$B$39)*(P13)</f>
        <v>0</v>
      </c>
      <c r="R13" s="283">
        <v>0</v>
      </c>
      <c r="S13" s="280">
        <f>IF(C13&gt;11,IF(H13&gt;1134,'DATOS REFERENCIALES'!$C$18,'DATOS REFERENCIALES'!$C$18/1135*H13),0)</f>
        <v>0</v>
      </c>
      <c r="T13" s="280">
        <f t="shared" ref="T13:T21" si="7">K13+L13+M13+N13+O13+P13+Q13+R13+S13</f>
        <v>22690.062100000003</v>
      </c>
      <c r="U13" s="282">
        <f t="shared" si="1"/>
        <v>2495.9068310000002</v>
      </c>
      <c r="V13" s="282">
        <f t="shared" si="2"/>
        <v>680.701863</v>
      </c>
      <c r="W13" s="283">
        <f t="shared" si="2"/>
        <v>680.701863</v>
      </c>
      <c r="X13" s="280">
        <f t="shared" ref="X13:X21" si="8">$T13*2%</f>
        <v>453.80124200000006</v>
      </c>
      <c r="Y13" s="280">
        <f t="shared" si="3"/>
        <v>1021.0527945000001</v>
      </c>
      <c r="Z13" s="280">
        <f t="shared" si="4"/>
        <v>5332.1645935000015</v>
      </c>
      <c r="AA13" s="282">
        <f t="shared" si="5"/>
        <v>17357.897506500001</v>
      </c>
      <c r="AB13" s="283">
        <f>'DATOS REFERENCIALES'!$C$10</f>
        <v>2270</v>
      </c>
      <c r="AC13" s="283">
        <f>IF(C13&lt;12,IF(H13&gt;1134,'DATOS REFERENCIALES'!$C$17,'DATOS REFERENCIALES'!$C$17/1135*H13),0)</f>
        <v>2584</v>
      </c>
      <c r="AD13" s="280">
        <f>IF((IF(H13&gt;1134,('DATOS REFERENCIALES'!$C$9-(T13-U13-V13-W13-X13-Y13+AB13+AC13)),(('DATOS REFERENCIALES'!$C$9/1135)*H13)-(K13+N13+O13+P13+Q13+S13-U13-V13-W13-X13-Y13+AB13+AC13)))&lt;0,0,IF(H13&gt;1134,(('DATOS REFERENCIALES'!$C$9)-(T13-U13-V13-W13-X13-Y13+AB13+AC13)),(('DATOS REFERENCIALES'!$C$9/1135)*H13)-(K13+N13+O13+P13+Q13+S13-U13-V13-W13-X13-Y13+AB13+AC13)))</f>
        <v>6326.102493499995</v>
      </c>
      <c r="AE13" s="284">
        <f t="shared" si="6"/>
        <v>28537.999999999996</v>
      </c>
      <c r="AF13" s="285">
        <f>'DATOS REFERENCIALES'!$C$13</f>
        <v>1210</v>
      </c>
      <c r="AG13" s="285" t="e">
        <f>IF($H13&gt;1119,'DATOS REFERENCIALES'!#REF!,'DATOS REFERENCIALES'!#REF!/1120*$H13)</f>
        <v>#REF!</v>
      </c>
      <c r="AH13" s="285">
        <f>+AF13</f>
        <v>1210</v>
      </c>
      <c r="AI13" s="280">
        <f>'DATOS REFERENCIALES'!$C$12</f>
        <v>210</v>
      </c>
      <c r="AJ13" s="664">
        <f>+AE13+AE14+AF13+AI13+AH13</f>
        <v>32727.525728859997</v>
      </c>
      <c r="AK13" s="662">
        <f>'DATOS REFERENCIALES'!C16</f>
        <v>2022.3050000000001</v>
      </c>
      <c r="AL13" s="664">
        <f>AK13*$AL$8</f>
        <v>475.24167499999999</v>
      </c>
      <c r="AM13" s="664">
        <f>AK13-AL13</f>
        <v>1547.0633250000001</v>
      </c>
      <c r="AN13" s="666">
        <f>AJ13+AM13</f>
        <v>34274.58905386</v>
      </c>
      <c r="AO13" s="692"/>
      <c r="AP13" s="692"/>
      <c r="AQ13" s="693"/>
    </row>
    <row r="14" spans="1:43" s="1" customFormat="1" ht="20.25" customHeight="1" thickBot="1" x14ac:dyDescent="0.25">
      <c r="A14" s="286">
        <v>579</v>
      </c>
      <c r="B14" s="287" t="s">
        <v>3</v>
      </c>
      <c r="C14" s="288">
        <f>IF(C13&gt;0,C13,0)</f>
        <v>0</v>
      </c>
      <c r="D14" s="288"/>
      <c r="E14" s="288"/>
      <c r="F14" s="288"/>
      <c r="G14" s="289">
        <v>1545</v>
      </c>
      <c r="H14" s="288"/>
      <c r="I14" s="607">
        <f>115.88/'DATOS REFERENCIALES'!$I$4*'DATOS REFERENCIALES'!$J$4</f>
        <v>193.13333333333333</v>
      </c>
      <c r="J14" s="288"/>
      <c r="K14" s="290"/>
      <c r="L14" s="290">
        <f>I14*'DATOS REFERENCIALES'!$C$4</f>
        <v>1853.26884</v>
      </c>
      <c r="M14" s="291"/>
      <c r="N14" s="292">
        <f>LOOKUP(C14,'TABLA ANTIG.'!$A$4:$A$39,'TABLA ANTIG.'!$B$4:$B$39)*(L14+M14)</f>
        <v>0</v>
      </c>
      <c r="O14" s="292">
        <f>(L14+M14)*0.1</f>
        <v>185.32688400000001</v>
      </c>
      <c r="P14" s="293"/>
      <c r="Q14" s="292"/>
      <c r="R14" s="540"/>
      <c r="S14" s="333"/>
      <c r="T14" s="299">
        <f t="shared" si="7"/>
        <v>2038.595724</v>
      </c>
      <c r="U14" s="295">
        <f t="shared" si="1"/>
        <v>224.24552964</v>
      </c>
      <c r="V14" s="295">
        <f t="shared" si="2"/>
        <v>61.157871719999996</v>
      </c>
      <c r="W14" s="296">
        <f t="shared" si="2"/>
        <v>61.157871719999996</v>
      </c>
      <c r="X14" s="294">
        <f>$T14*2%</f>
        <v>40.77191448</v>
      </c>
      <c r="Y14" s="294">
        <f t="shared" si="3"/>
        <v>91.736807580000004</v>
      </c>
      <c r="Z14" s="294">
        <f t="shared" si="4"/>
        <v>479.06999514</v>
      </c>
      <c r="AA14" s="295">
        <f t="shared" si="5"/>
        <v>1559.5257288600001</v>
      </c>
      <c r="AB14" s="540"/>
      <c r="AC14" s="540"/>
      <c r="AD14" s="299"/>
      <c r="AE14" s="297">
        <f t="shared" si="6"/>
        <v>1559.5257288600001</v>
      </c>
      <c r="AF14" s="298"/>
      <c r="AG14" s="298"/>
      <c r="AH14" s="298"/>
      <c r="AI14" s="292"/>
      <c r="AJ14" s="665"/>
      <c r="AK14" s="663"/>
      <c r="AL14" s="665"/>
      <c r="AM14" s="665"/>
      <c r="AN14" s="667"/>
      <c r="AO14" s="692"/>
      <c r="AP14" s="692"/>
      <c r="AQ14" s="693"/>
    </row>
    <row r="15" spans="1:43" s="1" customFormat="1" ht="21.75" customHeight="1" x14ac:dyDescent="0.2">
      <c r="A15" s="300">
        <v>544</v>
      </c>
      <c r="B15" s="301" t="s">
        <v>4</v>
      </c>
      <c r="C15" s="302">
        <v>0</v>
      </c>
      <c r="D15" s="302"/>
      <c r="E15" s="302"/>
      <c r="F15" s="302"/>
      <c r="G15" s="303">
        <v>1307</v>
      </c>
      <c r="H15" s="302">
        <f t="shared" si="0"/>
        <v>1307</v>
      </c>
      <c r="I15" s="616"/>
      <c r="J15" s="302"/>
      <c r="K15" s="304">
        <f>H15*'DATOS REFERENCIALES'!$C$4</f>
        <v>12541.7106</v>
      </c>
      <c r="L15" s="304"/>
      <c r="M15" s="305"/>
      <c r="N15" s="306">
        <f>LOOKUP(C15,'TABLA ANTIG.'!$A$4:$A$39,'TABLA ANTIG.'!$B$4:$B$39)*(K15)</f>
        <v>0</v>
      </c>
      <c r="O15" s="306">
        <f>(K15)*0.1</f>
        <v>1254.1710600000001</v>
      </c>
      <c r="P15" s="307">
        <f>'DATOS REFERENCIALES'!$C$8</f>
        <v>6382</v>
      </c>
      <c r="Q15" s="306">
        <f>LOOKUP(C15,'TABLA ANTIG.'!$A$4:$A$39,'TABLA ANTIG.'!$B$4:$B$39)*(P15)</f>
        <v>0</v>
      </c>
      <c r="R15" s="308">
        <v>0</v>
      </c>
      <c r="S15" s="306">
        <f>IF(C15&gt;11,IF(H15&gt;1134,'DATOS REFERENCIALES'!$C$18,'DATOS REFERENCIALES'!$C$18/1135*H15),0)</f>
        <v>0</v>
      </c>
      <c r="T15" s="306">
        <f t="shared" si="7"/>
        <v>20177.881659999999</v>
      </c>
      <c r="U15" s="310">
        <f t="shared" si="1"/>
        <v>2219.5669825999998</v>
      </c>
      <c r="V15" s="306">
        <f t="shared" si="2"/>
        <v>605.33644979999997</v>
      </c>
      <c r="W15" s="309">
        <f t="shared" si="2"/>
        <v>605.33644979999997</v>
      </c>
      <c r="X15" s="306">
        <f t="shared" si="8"/>
        <v>403.5576332</v>
      </c>
      <c r="Y15" s="306">
        <f t="shared" si="3"/>
        <v>908.0046746999999</v>
      </c>
      <c r="Z15" s="306">
        <f t="shared" si="4"/>
        <v>4741.8021901000002</v>
      </c>
      <c r="AA15" s="310">
        <f t="shared" si="5"/>
        <v>15436.0794699</v>
      </c>
      <c r="AB15" s="309">
        <f>'DATOS REFERENCIALES'!$C$10</f>
        <v>2270</v>
      </c>
      <c r="AC15" s="308">
        <f>IF(C15&lt;12,IF(H15&gt;1134,'DATOS REFERENCIALES'!$C$17,'DATOS REFERENCIALES'!$C$17/1135*H15),0)</f>
        <v>2584</v>
      </c>
      <c r="AD15" s="306">
        <f>IF((IF(H15&gt;1134,('DATOS REFERENCIALES'!$C$9-(T15-U15-V15-W15-X15-Y15+AB15+AC15)),(('DATOS REFERENCIALES'!$C$9/1135)*H15)-(K15+N15+O15+P15+Q15+S15-U15-V15-W15-X15-Y15+AB15+AC15)))&lt;0,0,IF(H15&gt;1134,(('DATOS REFERENCIALES'!$C$9)-(T15-U15-V15-W15-X15-Y15+AB15+AC15)),(('DATOS REFERENCIALES'!$C$9/1135)*H15)-(K15+N15+O15+P15+Q15+S15-U15-V15-W15-X15-Y15+AB15+AC15)))</f>
        <v>8247.9205301000038</v>
      </c>
      <c r="AE15" s="309">
        <f t="shared" si="6"/>
        <v>28538.000000000004</v>
      </c>
      <c r="AF15" s="311">
        <f>'DATOS REFERENCIALES'!$C$13</f>
        <v>1210</v>
      </c>
      <c r="AG15" s="311" t="e">
        <f>IF($H15&gt;1119,'DATOS REFERENCIALES'!#REF!,'DATOS REFERENCIALES'!#REF!/1120*$H15)</f>
        <v>#REF!</v>
      </c>
      <c r="AH15" s="311">
        <f>+AF15</f>
        <v>1210</v>
      </c>
      <c r="AI15" s="306">
        <f>'DATOS REFERENCIALES'!$C$12</f>
        <v>210</v>
      </c>
      <c r="AJ15" s="670">
        <f>+AE15+AE16+AF15+AI15+AH15</f>
        <v>32487.298474285002</v>
      </c>
      <c r="AK15" s="668">
        <f>'DATOS REFERENCIALES'!C16</f>
        <v>2022.3050000000001</v>
      </c>
      <c r="AL15" s="670">
        <f>AK15*$AL$8</f>
        <v>475.24167499999999</v>
      </c>
      <c r="AM15" s="670">
        <f>AK15-AL15</f>
        <v>1547.0633250000001</v>
      </c>
      <c r="AN15" s="672">
        <f>AJ15+AM15</f>
        <v>34034.361799285005</v>
      </c>
      <c r="AO15" s="692"/>
      <c r="AP15" s="692"/>
      <c r="AQ15" s="693"/>
    </row>
    <row r="16" spans="1:43" s="1" customFormat="1" ht="21.75" customHeight="1" thickBot="1" x14ac:dyDescent="0.25">
      <c r="A16" s="312">
        <v>544</v>
      </c>
      <c r="B16" s="313" t="s">
        <v>4</v>
      </c>
      <c r="C16" s="314">
        <f>IF(C15&gt;0,C15,0)</f>
        <v>0</v>
      </c>
      <c r="D16" s="314"/>
      <c r="E16" s="314"/>
      <c r="F16" s="314"/>
      <c r="G16" s="315">
        <v>1307</v>
      </c>
      <c r="H16" s="314"/>
      <c r="I16" s="617">
        <f>98.03/'DATOS REFERENCIALES'!$I$4*'DATOS REFERENCIALES'!$J$4</f>
        <v>163.38333333333333</v>
      </c>
      <c r="J16" s="314"/>
      <c r="K16" s="316"/>
      <c r="L16" s="316">
        <f>I16*'DATOS REFERENCIALES'!$C$4</f>
        <v>1567.7937899999999</v>
      </c>
      <c r="M16" s="317"/>
      <c r="N16" s="318">
        <f>LOOKUP(C16,'TABLA ANTIG.'!$A$4:$A$39,'TABLA ANTIG.'!$B$4:$B$39)*(L16+M16)</f>
        <v>0</v>
      </c>
      <c r="O16" s="318">
        <f>(L16+M16)*0.1</f>
        <v>156.77937900000001</v>
      </c>
      <c r="P16" s="319"/>
      <c r="Q16" s="320"/>
      <c r="R16" s="321"/>
      <c r="S16" s="552"/>
      <c r="T16" s="320">
        <f t="shared" si="7"/>
        <v>1724.573169</v>
      </c>
      <c r="U16" s="323">
        <f t="shared" si="1"/>
        <v>189.70304859000001</v>
      </c>
      <c r="V16" s="320">
        <f t="shared" si="2"/>
        <v>51.737195069999999</v>
      </c>
      <c r="W16" s="322">
        <f t="shared" si="2"/>
        <v>51.737195069999999</v>
      </c>
      <c r="X16" s="320">
        <f t="shared" si="8"/>
        <v>34.491463379999999</v>
      </c>
      <c r="Y16" s="320">
        <f t="shared" si="3"/>
        <v>77.605792604999991</v>
      </c>
      <c r="Z16" s="320">
        <f>SUM(U16:Y16)</f>
        <v>405.27469471499995</v>
      </c>
      <c r="AA16" s="323">
        <f>T16-Z16</f>
        <v>1319.2984742850001</v>
      </c>
      <c r="AB16" s="322"/>
      <c r="AC16" s="649"/>
      <c r="AD16" s="458"/>
      <c r="AE16" s="322">
        <f t="shared" si="6"/>
        <v>1319.2984742850001</v>
      </c>
      <c r="AF16" s="324"/>
      <c r="AG16" s="324"/>
      <c r="AH16" s="324"/>
      <c r="AI16" s="320"/>
      <c r="AJ16" s="678"/>
      <c r="AK16" s="681"/>
      <c r="AL16" s="671"/>
      <c r="AM16" s="671"/>
      <c r="AN16" s="680"/>
      <c r="AO16" s="692"/>
      <c r="AP16" s="692"/>
      <c r="AQ16" s="693"/>
    </row>
    <row r="17" spans="1:43" s="1" customFormat="1" ht="19.5" customHeight="1" x14ac:dyDescent="0.2">
      <c r="A17" s="199">
        <v>543</v>
      </c>
      <c r="B17" s="161" t="s">
        <v>54</v>
      </c>
      <c r="C17" s="119">
        <v>0</v>
      </c>
      <c r="D17" s="119"/>
      <c r="E17" s="119"/>
      <c r="F17" s="119"/>
      <c r="G17" s="163">
        <v>1120</v>
      </c>
      <c r="H17" s="600">
        <v>1135</v>
      </c>
      <c r="I17" s="618"/>
      <c r="J17" s="119"/>
      <c r="K17" s="105">
        <f>H17*'DATOS REFERENCIALES'!$C$4</f>
        <v>10891.233</v>
      </c>
      <c r="L17" s="105"/>
      <c r="M17" s="200"/>
      <c r="N17" s="106">
        <f>LOOKUP(C17,'TABLA ANTIG.'!$A$4:$A$39,'TABLA ANTIG.'!$B$4:$B$39)*(K17+L17+M17)</f>
        <v>0</v>
      </c>
      <c r="O17" s="113">
        <f>(K17+L17+M17)*0.1</f>
        <v>1089.1233</v>
      </c>
      <c r="P17" s="203">
        <f>'DATOS REFERENCIALES'!$C$8</f>
        <v>6382</v>
      </c>
      <c r="Q17" s="106">
        <f>LOOKUP(C17,'TABLA ANTIG.'!$A$4:$A$39,'TABLA ANTIG.'!$B$4:$B$39)*(P17)</f>
        <v>0</v>
      </c>
      <c r="R17" s="145">
        <v>0</v>
      </c>
      <c r="S17" s="543">
        <f>IF(C17&gt;11,IF(H17&gt;1134,'DATOS REFERENCIALES'!$C$18,'DATOS REFERENCIALES'!$C$18/1135*H17),0)</f>
        <v>0</v>
      </c>
      <c r="T17" s="348">
        <f t="shared" si="7"/>
        <v>18362.356299999999</v>
      </c>
      <c r="U17" s="78">
        <f t="shared" si="1"/>
        <v>2019.859193</v>
      </c>
      <c r="V17" s="106">
        <f t="shared" si="2"/>
        <v>550.87068899999997</v>
      </c>
      <c r="W17" s="149">
        <f t="shared" si="2"/>
        <v>550.87068899999997</v>
      </c>
      <c r="X17" s="106">
        <f t="shared" si="8"/>
        <v>367.24712599999998</v>
      </c>
      <c r="Y17" s="106">
        <f t="shared" si="3"/>
        <v>826.3060334999999</v>
      </c>
      <c r="Z17" s="113">
        <f t="shared" si="4"/>
        <v>4315.1537305000002</v>
      </c>
      <c r="AA17" s="146">
        <f t="shared" si="5"/>
        <v>14047.202569499999</v>
      </c>
      <c r="AB17" s="149">
        <f>'DATOS REFERENCIALES'!$C$10</f>
        <v>2270</v>
      </c>
      <c r="AC17" s="653">
        <f>IF(C17&lt;12,IF(H17&gt;1134,'DATOS REFERENCIALES'!$C$17,'DATOS REFERENCIALES'!$C$17/1135*H17),0)</f>
        <v>2584</v>
      </c>
      <c r="AD17" s="78">
        <f>IF((IF(H17&gt;1134,('DATOS REFERENCIALES'!$C$9-(T17-U17-V17-W17-X17-Y17+AB17+AC17)),(('DATOS REFERENCIALES'!$C$9/1135)*H17)-(K17+N17+O17+P17+Q17+S17-U17-V17-W17-X17-Y17+AB17+AC17)))&lt;0,0,IF(H17&gt;1134,(('DATOS REFERENCIALES'!$C$9)-(T17-U17-V17-W17-X17-Y17+AB17+AC17)),(('DATOS REFERENCIALES'!$C$9/1135)*H17)-(K17+N17+O17+P17+Q17+S17-U17-V17-W17-X17-Y17+AB17+AC17)))</f>
        <v>9636.7974304999989</v>
      </c>
      <c r="AE17" s="146">
        <f t="shared" si="6"/>
        <v>28537.999999999996</v>
      </c>
      <c r="AF17" s="204">
        <f>'DATOS REFERENCIALES'!$C$13</f>
        <v>1210</v>
      </c>
      <c r="AG17" s="186" t="e">
        <f>IF(H17&gt;1119,'DATOS REFERENCIALES'!#REF!,'DATOS REFERENCIALES'!#REF!/1120*H17)</f>
        <v>#REF!</v>
      </c>
      <c r="AH17" s="612">
        <f>+AF17</f>
        <v>1210</v>
      </c>
      <c r="AI17" s="149">
        <f>'DATOS REFERENCIALES'!$C$12</f>
        <v>210</v>
      </c>
      <c r="AJ17" s="78">
        <f>+AE17+AF17+AI17+AH17</f>
        <v>31167.999999999996</v>
      </c>
      <c r="AK17" s="647">
        <f>'DATOS REFERENCIALES'!$C$16</f>
        <v>2022.3050000000001</v>
      </c>
      <c r="AL17" s="577">
        <f>AK17*$AL$8</f>
        <v>475.24167499999999</v>
      </c>
      <c r="AM17" s="577">
        <f>AK17-AL17</f>
        <v>1547.0633250000001</v>
      </c>
      <c r="AN17" s="578">
        <f>AJ17+AM17</f>
        <v>32715.063324999996</v>
      </c>
      <c r="AO17" s="692"/>
      <c r="AP17" s="692"/>
      <c r="AQ17" s="693"/>
    </row>
    <row r="18" spans="1:43" s="1" customFormat="1" ht="21" customHeight="1" x14ac:dyDescent="0.2">
      <c r="A18" s="83">
        <v>906</v>
      </c>
      <c r="B18" s="85" t="s">
        <v>70</v>
      </c>
      <c r="C18" s="23">
        <v>0</v>
      </c>
      <c r="D18" s="23"/>
      <c r="E18" s="23"/>
      <c r="F18" s="23"/>
      <c r="G18" s="52">
        <v>1120</v>
      </c>
      <c r="H18" s="601">
        <v>1135</v>
      </c>
      <c r="I18" s="88"/>
      <c r="J18" s="35"/>
      <c r="K18" s="89">
        <f>H18*'DATOS REFERENCIALES'!$C$4</f>
        <v>10891.233</v>
      </c>
      <c r="L18" s="89"/>
      <c r="M18" s="187"/>
      <c r="N18" s="79">
        <f>LOOKUP(C18,'TABLA ANTIG.'!$A$4:$A$39,'TABLA ANTIG.'!$B$4:$B$39)*(K18+L18+M18)</f>
        <v>0</v>
      </c>
      <c r="O18" s="27">
        <f>(K18+L18+M18)*0.1</f>
        <v>1089.1233</v>
      </c>
      <c r="P18" s="155">
        <f>'DATOS REFERENCIALES'!$C$8</f>
        <v>6382</v>
      </c>
      <c r="Q18" s="79">
        <f>LOOKUP(C18,'TABLA ANTIG.'!$A$4:$A$39,'TABLA ANTIG.'!$B$4:$B$39)*(P18)</f>
        <v>0</v>
      </c>
      <c r="R18" s="98">
        <v>0</v>
      </c>
      <c r="S18" s="545">
        <f>IF(C18&gt;11,IF(H18&gt;1134,'DATOS REFERENCIALES'!$C$18,'DATOS REFERENCIALES'!$C$18/1135*H18),0)</f>
        <v>0</v>
      </c>
      <c r="T18" s="421">
        <f t="shared" si="7"/>
        <v>18362.356299999999</v>
      </c>
      <c r="U18" s="27">
        <f t="shared" si="1"/>
        <v>2019.859193</v>
      </c>
      <c r="V18" s="27">
        <f t="shared" si="2"/>
        <v>550.87068899999997</v>
      </c>
      <c r="W18" s="98">
        <f t="shared" si="2"/>
        <v>550.87068899999997</v>
      </c>
      <c r="X18" s="27">
        <f t="shared" si="8"/>
        <v>367.24712599999998</v>
      </c>
      <c r="Y18" s="27">
        <f t="shared" si="3"/>
        <v>826.3060334999999</v>
      </c>
      <c r="Z18" s="27">
        <f t="shared" si="4"/>
        <v>4315.1537305000002</v>
      </c>
      <c r="AA18" s="130">
        <f t="shared" si="5"/>
        <v>14047.202569499999</v>
      </c>
      <c r="AB18" s="147">
        <f>'DATOS REFERENCIALES'!$C$10</f>
        <v>2270</v>
      </c>
      <c r="AC18" s="654">
        <f>IF(C18&lt;12,IF(H18&gt;1134,'DATOS REFERENCIALES'!$C$17,'DATOS REFERENCIALES'!$C$17/1135*H18),0)</f>
        <v>2584</v>
      </c>
      <c r="AD18" s="79">
        <f>IF((IF(H18&gt;1134,('DATOS REFERENCIALES'!$C$9-(T18-U18-V18-W18-X18-Y18+AB18+AC18)),(('DATOS REFERENCIALES'!$C$9/1135)*H18)-(K18+N18+O18+P18+Q18+S18-U18-V18-W18-X18-Y18+AB18+AC18)))&lt;0,0,IF(H18&gt;1134,(('DATOS REFERENCIALES'!$C$9)-(T18-U18-V18-W18-X18-Y18+AB18+AC18)),(('DATOS REFERENCIALES'!$C$9/1135)*H18)-(K18+N18+O18+P18+Q18+S18-U18-V18-W18-X18-Y18+AB18+AC18)))</f>
        <v>9636.7974304999989</v>
      </c>
      <c r="AE18" s="130">
        <f t="shared" si="6"/>
        <v>28537.999999999996</v>
      </c>
      <c r="AF18" s="167">
        <f>'DATOS REFERENCIALES'!$C$13</f>
        <v>1210</v>
      </c>
      <c r="AG18" s="91" t="e">
        <f>IF(H18&gt;1119,'DATOS REFERENCIALES'!#REF!,'DATOS REFERENCIALES'!#REF!/1120*H18)</f>
        <v>#REF!</v>
      </c>
      <c r="AH18" s="167">
        <f>+AF18</f>
        <v>1210</v>
      </c>
      <c r="AI18" s="147">
        <f>'DATOS REFERENCIALES'!$C$12</f>
        <v>210</v>
      </c>
      <c r="AJ18" s="79">
        <f t="shared" ref="AJ18:AJ21" si="9">+AE18+AF18+AI18+AH18</f>
        <v>31167.999999999996</v>
      </c>
      <c r="AK18" s="650">
        <f>'DATOS REFERENCIALES'!$C$16</f>
        <v>2022.3050000000001</v>
      </c>
      <c r="AL18" s="27">
        <f>AK18*$AL$8</f>
        <v>475.24167499999999</v>
      </c>
      <c r="AM18" s="27">
        <f>AK18-AL18</f>
        <v>1547.0633250000001</v>
      </c>
      <c r="AN18" s="559">
        <f>AJ18+AM18</f>
        <v>32715.063324999996</v>
      </c>
      <c r="AO18" s="692"/>
      <c r="AP18" s="692"/>
      <c r="AQ18" s="693"/>
    </row>
    <row r="19" spans="1:43" s="1" customFormat="1" ht="17.25" customHeight="1" x14ac:dyDescent="0.2">
      <c r="A19" s="83">
        <v>907</v>
      </c>
      <c r="B19" s="85" t="s">
        <v>80</v>
      </c>
      <c r="C19" s="23">
        <v>0</v>
      </c>
      <c r="D19" s="23"/>
      <c r="E19" s="23"/>
      <c r="F19" s="23"/>
      <c r="G19" s="52">
        <v>1120</v>
      </c>
      <c r="H19" s="601">
        <v>1135</v>
      </c>
      <c r="I19" s="35"/>
      <c r="J19" s="35"/>
      <c r="K19" s="89">
        <f>H19*'DATOS REFERENCIALES'!$C$4</f>
        <v>10891.233</v>
      </c>
      <c r="L19" s="89"/>
      <c r="M19" s="187"/>
      <c r="N19" s="79">
        <f>LOOKUP(C19,'TABLA ANTIG.'!$A$4:$A$39,'TABLA ANTIG.'!$B$4:$B$39)*(K19+L19+M19)</f>
        <v>0</v>
      </c>
      <c r="O19" s="27">
        <f>(K19+L19+M19)*0.1</f>
        <v>1089.1233</v>
      </c>
      <c r="P19" s="155">
        <f>'DATOS REFERENCIALES'!$C$8</f>
        <v>6382</v>
      </c>
      <c r="Q19" s="79">
        <f>LOOKUP(C19,'TABLA ANTIG.'!$A$4:$A$39,'TABLA ANTIG.'!$B$4:$B$39)*(P19)</f>
        <v>0</v>
      </c>
      <c r="R19" s="98">
        <v>0</v>
      </c>
      <c r="S19" s="545">
        <f>IF(C19&gt;11,IF(H19&gt;1134,'DATOS REFERENCIALES'!$C$18,'DATOS REFERENCIALES'!$C$18/1135*H19),0)</f>
        <v>0</v>
      </c>
      <c r="T19" s="421">
        <f t="shared" si="7"/>
        <v>18362.356299999999</v>
      </c>
      <c r="U19" s="27">
        <f t="shared" si="1"/>
        <v>2019.859193</v>
      </c>
      <c r="V19" s="27">
        <f t="shared" si="2"/>
        <v>550.87068899999997</v>
      </c>
      <c r="W19" s="98">
        <f t="shared" si="2"/>
        <v>550.87068899999997</v>
      </c>
      <c r="X19" s="27">
        <f t="shared" si="8"/>
        <v>367.24712599999998</v>
      </c>
      <c r="Y19" s="27">
        <f t="shared" si="3"/>
        <v>826.3060334999999</v>
      </c>
      <c r="Z19" s="27">
        <f t="shared" si="4"/>
        <v>4315.1537305000002</v>
      </c>
      <c r="AA19" s="130">
        <f t="shared" si="5"/>
        <v>14047.202569499999</v>
      </c>
      <c r="AB19" s="147">
        <f>'DATOS REFERENCIALES'!$C$10</f>
        <v>2270</v>
      </c>
      <c r="AC19" s="654">
        <f>IF(C19&lt;12,IF(H19&gt;1134,'DATOS REFERENCIALES'!$C$17,'DATOS REFERENCIALES'!$C$17/1135*H19),0)</f>
        <v>2584</v>
      </c>
      <c r="AD19" s="79">
        <f>IF((IF(H19&gt;1134,('DATOS REFERENCIALES'!$C$9-(T19-U19-V19-W19-X19-Y19+AB19+AC19)),(('DATOS REFERENCIALES'!$C$9/1135)*H19)-(K19+N19+O19+P19+Q19+S19-U19-V19-W19-X19-Y19+AB19+AC19)))&lt;0,0,IF(H19&gt;1134,(('DATOS REFERENCIALES'!$C$9)-(T19-U19-V19-W19-X19-Y19+AB19+AC19)),(('DATOS REFERENCIALES'!$C$9/1135)*H19)-(K19+N19+O19+P19+Q19+S19-U19-V19-W19-X19-Y19+AB19+AC19)))</f>
        <v>9636.7974304999989</v>
      </c>
      <c r="AE19" s="130">
        <f t="shared" si="6"/>
        <v>28537.999999999996</v>
      </c>
      <c r="AF19" s="167">
        <f>'DATOS REFERENCIALES'!$C$13</f>
        <v>1210</v>
      </c>
      <c r="AG19" s="91" t="e">
        <f>IF(H19&gt;1119,'DATOS REFERENCIALES'!#REF!,'DATOS REFERENCIALES'!#REF!/1120*H19)</f>
        <v>#REF!</v>
      </c>
      <c r="AH19" s="167">
        <f>+AF19</f>
        <v>1210</v>
      </c>
      <c r="AI19" s="147">
        <f>'DATOS REFERENCIALES'!$C$12</f>
        <v>210</v>
      </c>
      <c r="AJ19" s="79">
        <f t="shared" si="9"/>
        <v>31167.999999999996</v>
      </c>
      <c r="AK19" s="650">
        <f>'DATOS REFERENCIALES'!$C$16</f>
        <v>2022.3050000000001</v>
      </c>
      <c r="AL19" s="27">
        <f>AK19*$AL$8</f>
        <v>475.24167499999999</v>
      </c>
      <c r="AM19" s="27">
        <f>AK19-AL19</f>
        <v>1547.0633250000001</v>
      </c>
      <c r="AN19" s="559">
        <f>AJ19+AM19</f>
        <v>32715.063324999996</v>
      </c>
      <c r="AO19" s="692"/>
      <c r="AP19" s="692"/>
      <c r="AQ19" s="693"/>
    </row>
    <row r="20" spans="1:43" s="1" customFormat="1" ht="18.75" customHeight="1" x14ac:dyDescent="0.2">
      <c r="A20" s="83">
        <v>889</v>
      </c>
      <c r="B20" s="85" t="s">
        <v>52</v>
      </c>
      <c r="C20" s="23">
        <v>0</v>
      </c>
      <c r="D20" s="23"/>
      <c r="E20" s="23"/>
      <c r="F20" s="23"/>
      <c r="G20" s="87">
        <v>981.5</v>
      </c>
      <c r="H20" s="88">
        <f t="shared" si="0"/>
        <v>981.5</v>
      </c>
      <c r="I20" s="88"/>
      <c r="J20" s="88"/>
      <c r="K20" s="89">
        <f>H20*'DATOS REFERENCIALES'!$C$4</f>
        <v>9418.2777000000006</v>
      </c>
      <c r="L20" s="89"/>
      <c r="M20" s="187"/>
      <c r="N20" s="79">
        <f>LOOKUP(C20,'TABLA ANTIG.'!$A$4:$A$39,'TABLA ANTIG.'!$B$4:$B$39)*(K20+L20+M20)</f>
        <v>0</v>
      </c>
      <c r="O20" s="27">
        <f>(K20+L20+M20)*0.1</f>
        <v>941.8277700000001</v>
      </c>
      <c r="P20" s="155">
        <f>'DATOS REFERENCIALES'!$C$8</f>
        <v>6382</v>
      </c>
      <c r="Q20" s="79">
        <f>LOOKUP(C20,'TABLA ANTIG.'!$A$4:$A$39,'TABLA ANTIG.'!$B$4:$B$39)*(P20)</f>
        <v>0</v>
      </c>
      <c r="R20" s="98">
        <v>0</v>
      </c>
      <c r="S20" s="545">
        <f>IF(C20&gt;11,IF(H20&gt;1134,'DATOS REFERENCIALES'!$C$18,'DATOS REFERENCIALES'!$C$18/1135*H20),0)</f>
        <v>0</v>
      </c>
      <c r="T20" s="421">
        <f t="shared" si="7"/>
        <v>16742.105470000002</v>
      </c>
      <c r="U20" s="27">
        <f t="shared" si="1"/>
        <v>1841.6316017000001</v>
      </c>
      <c r="V20" s="27">
        <f t="shared" si="2"/>
        <v>502.26316410000004</v>
      </c>
      <c r="W20" s="98">
        <f t="shared" si="2"/>
        <v>502.26316410000004</v>
      </c>
      <c r="X20" s="27">
        <f t="shared" si="8"/>
        <v>334.84210940000003</v>
      </c>
      <c r="Y20" s="27">
        <f t="shared" si="3"/>
        <v>753.39474615000006</v>
      </c>
      <c r="Z20" s="27">
        <f t="shared" si="4"/>
        <v>3934.3947854500007</v>
      </c>
      <c r="AA20" s="130">
        <f t="shared" si="5"/>
        <v>12807.710684550002</v>
      </c>
      <c r="AB20" s="147">
        <f>'DATOS REFERENCIALES'!$C$10</f>
        <v>2270</v>
      </c>
      <c r="AC20" s="654">
        <f>IF(C20&lt;12,IF(H20&gt;1134,'DATOS REFERENCIALES'!$C$17,'DATOS REFERENCIALES'!$C$17/1135*H20),0)</f>
        <v>2234.5339207048455</v>
      </c>
      <c r="AD20" s="79">
        <f>IF((IF(H20&gt;1134,('DATOS REFERENCIALES'!$C$9-(T20-U20-V20-W20-X20-Y20+AB20+AC20)),(('DATOS REFERENCIALES'!$C$9/1135)*H20)-(K20+N20+O20+P20+Q20+S20-U20-V20-W20-X20-Y20+AB20+AC20)))&lt;0,0,IF(H20&gt;1134,(('DATOS REFERENCIALES'!$C$9)-(T20-U20-V20-W20-X20-Y20+AB20+AC20)),(('DATOS REFERENCIALES'!$C$9/1135)*H20)-(K20+N20+O20+P20+Q20+S20-U20-V20-W20-X20-Y20+AB20+AC20)))</f>
        <v>7366.2109013530826</v>
      </c>
      <c r="AE20" s="130">
        <f t="shared" si="6"/>
        <v>24678.45550660793</v>
      </c>
      <c r="AF20" s="167">
        <f>'DATOS REFERENCIALES'!$C$13</f>
        <v>1210</v>
      </c>
      <c r="AG20" s="91" t="e">
        <f>IF(H20&gt;1119,'DATOS REFERENCIALES'!#REF!,'DATOS REFERENCIALES'!#REF!/1120*H20)</f>
        <v>#REF!</v>
      </c>
      <c r="AH20" s="167">
        <f>+AF20</f>
        <v>1210</v>
      </c>
      <c r="AI20" s="147">
        <f>'DATOS REFERENCIALES'!$C$12</f>
        <v>210</v>
      </c>
      <c r="AJ20" s="79">
        <f t="shared" si="9"/>
        <v>27308.45550660793</v>
      </c>
      <c r="AK20" s="650">
        <f>'DATOS REFERENCIALES'!$C$16</f>
        <v>2022.3050000000001</v>
      </c>
      <c r="AL20" s="27">
        <f>AK20*$AL$8</f>
        <v>475.24167499999999</v>
      </c>
      <c r="AM20" s="27">
        <f>AK20-AL20</f>
        <v>1547.0633250000001</v>
      </c>
      <c r="AN20" s="559">
        <f>AJ20+AM20</f>
        <v>28855.518831607929</v>
      </c>
      <c r="AO20" s="692"/>
      <c r="AP20" s="692"/>
      <c r="AQ20" s="693"/>
    </row>
    <row r="21" spans="1:43" s="1" customFormat="1" ht="22.5" customHeight="1" thickBot="1" x14ac:dyDescent="0.25">
      <c r="A21" s="84">
        <v>566</v>
      </c>
      <c r="B21" s="86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0">
        <f>(H21*'DATOS REFERENCIALES'!$C$4)*D21</f>
        <v>537.36480000000006</v>
      </c>
      <c r="L21" s="90"/>
      <c r="M21" s="188"/>
      <c r="N21" s="148">
        <f>LOOKUP(C21,'TABLA ANTIG.'!$A$4:$A$39,'TABLA ANTIG.'!$B$4:$B$39)*(K21+L21+M21)</f>
        <v>0</v>
      </c>
      <c r="O21" s="198">
        <f>(K21+L21+M21)*0.1</f>
        <v>53.736480000000007</v>
      </c>
      <c r="P21" s="197">
        <f>IF(D21&gt;48,'DATOS REFERENCIALES'!D8+('DATOS REFERENCIALES'!F8*10),IF(D21&lt;39,'DATOS REFERENCIALES'!$E$8*D21,((D21-'DATOS REFERENCIALES'!$I$8)*'DATOS REFERENCIALES'!$F$8)+'DATOS REFERENCIALES'!D8))</f>
        <v>335.89473684210526</v>
      </c>
      <c r="Q21" s="80">
        <f>LOOKUP(C21,'TABLA ANTIG.'!$A$4:$A$39,'TABLA ANTIG.'!$B$4:$B$39)*(P21)</f>
        <v>0</v>
      </c>
      <c r="R21" s="99">
        <v>0</v>
      </c>
      <c r="S21" s="551">
        <f>IF(C21&gt;11,IF(H21&gt;1134,'DATOS REFERENCIALES'!$C$18,'DATOS REFERENCIALES'!$C$18/20*D21),0)</f>
        <v>0</v>
      </c>
      <c r="T21" s="363">
        <f t="shared" si="7"/>
        <v>926.99601684210529</v>
      </c>
      <c r="U21" s="28">
        <f t="shared" si="1"/>
        <v>101.96956185263159</v>
      </c>
      <c r="V21" s="28">
        <f t="shared" si="2"/>
        <v>27.809880505263159</v>
      </c>
      <c r="W21" s="99">
        <f t="shared" si="2"/>
        <v>27.809880505263159</v>
      </c>
      <c r="X21" s="28">
        <f t="shared" si="8"/>
        <v>18.539920336842105</v>
      </c>
      <c r="Y21" s="28">
        <f t="shared" si="3"/>
        <v>41.714820757894735</v>
      </c>
      <c r="Z21" s="28">
        <f t="shared" si="4"/>
        <v>217.84406395789472</v>
      </c>
      <c r="AA21" s="131">
        <f t="shared" si="5"/>
        <v>709.15195288421057</v>
      </c>
      <c r="AB21" s="150">
        <f>IF(D21&gt;38,'DATOS REFERENCIALES'!$D$10,'DATOS REFERENCIALES'!$E$10*D21)</f>
        <v>119.47368421052632</v>
      </c>
      <c r="AC21" s="655">
        <f>IF(C21&lt;12,IF(H21&gt;1134,'DATOS REFERENCIALES'!$C$17,'DATOS REFERENCIALES'!$C$17/20*D21),0)</f>
        <v>129.19999999999999</v>
      </c>
      <c r="AD21" s="80">
        <f>IF(D21&gt;41,IF((('DATOS REFERENCIALES'!$D$9)-((T21)+(AB21)+(AC21)))&lt;0,0,((('DATOS REFERENCIALES'!$D$9)-((T21)-(Z21)+(AB21)+(AC21))))),IF((('DATOS REFERENCIALES'!$E$9*D21)-(((T21)+(AB21)+(AC21))))&lt;0,0,('DATOS REFERENCIALES'!$E$9*D21)-((T21)-(Z21)+(AB21)+(AC21))))</f>
        <v>469.07436290526311</v>
      </c>
      <c r="AE21" s="131">
        <f t="shared" si="6"/>
        <v>1426.9</v>
      </c>
      <c r="AF21" s="168">
        <f>IF(D21&gt;'DATOS REFERENCIALES'!$I$13,'DATOS REFERENCIALES'!$D$13,('DATOS REFERENCIALES'!$E$13*D21))</f>
        <v>80.666666666666671</v>
      </c>
      <c r="AG21" s="168" t="e">
        <f>IF(D21&gt;'DATOS REFERENCIALES'!#REF!,'DATOS REFERENCIALES'!#REF!,('DATOS REFERENCIALES'!#REF!*D21))</f>
        <v>#REF!</v>
      </c>
      <c r="AH21" s="168">
        <f>+AF21</f>
        <v>80.666666666666671</v>
      </c>
      <c r="AI21" s="150">
        <f>IF(D21&gt;'DATOS REFERENCIALES'!$I$12,'DATOS REFERENCIALES'!$D$12,'DATOS REFERENCIALES'!$E$12*D21)</f>
        <v>14</v>
      </c>
      <c r="AJ21" s="80">
        <f t="shared" si="9"/>
        <v>1602.2333333333336</v>
      </c>
      <c r="AK21" s="614">
        <f>IF(D21&gt;'DATOS REFERENCIALES'!$I$16,'DATOS REFERENCIALES'!$D$16,'DATOS REFERENCIALES'!$E$16*D21)</f>
        <v>134.82033333333334</v>
      </c>
      <c r="AL21" s="28">
        <f>AK21*$AL$8</f>
        <v>31.682778333333331</v>
      </c>
      <c r="AM21" s="28">
        <f>AK21-AL21</f>
        <v>103.13755500000001</v>
      </c>
      <c r="AN21" s="560">
        <f>AJ21+AM21</f>
        <v>1705.3708883333336</v>
      </c>
      <c r="AO21" s="694"/>
      <c r="AP21" s="694"/>
      <c r="AQ21" s="695"/>
    </row>
    <row r="22" spans="1:43" s="1" customFormat="1" ht="15.75" thickBot="1" x14ac:dyDescent="0.25">
      <c r="A22" s="70"/>
      <c r="B22" s="71"/>
      <c r="C22" s="72"/>
      <c r="D22" s="72"/>
      <c r="E22" s="72"/>
      <c r="F22" s="72"/>
      <c r="G22" s="67"/>
      <c r="H22" s="44"/>
      <c r="I22" s="44"/>
      <c r="J22" s="44"/>
      <c r="K22" s="41"/>
      <c r="L22" s="41"/>
      <c r="M22" s="41"/>
      <c r="N22" s="42"/>
      <c r="O22" s="73"/>
      <c r="P22" s="41"/>
      <c r="Q22" s="42"/>
      <c r="R22" s="73"/>
      <c r="S22" s="73"/>
      <c r="T22" s="73"/>
      <c r="U22" s="73"/>
      <c r="V22" s="73"/>
      <c r="W22" s="73"/>
      <c r="X22" s="73"/>
      <c r="Y22" s="73"/>
      <c r="Z22" s="73"/>
      <c r="AA22" s="45"/>
      <c r="AB22" s="46"/>
      <c r="AC22" s="46"/>
      <c r="AD22" s="45"/>
      <c r="AE22" s="45"/>
      <c r="AF22" s="47"/>
      <c r="AG22" s="47"/>
      <c r="AH22" s="47"/>
      <c r="AI22" s="68"/>
      <c r="AJ22" s="45"/>
      <c r="AK22" s="16"/>
      <c r="AL22" s="17"/>
      <c r="AM22" s="17"/>
      <c r="AQ22" s="8"/>
    </row>
    <row r="23" spans="1:43" s="1" customFormat="1" ht="21.75" customHeight="1" thickBot="1" x14ac:dyDescent="0.35">
      <c r="A23" s="94" t="s">
        <v>122</v>
      </c>
      <c r="B23" s="95"/>
      <c r="C23" s="95"/>
      <c r="D23" s="95"/>
      <c r="E23" s="95"/>
      <c r="F23" s="95"/>
      <c r="G23" s="132"/>
      <c r="H23" s="132"/>
      <c r="I23" s="132"/>
      <c r="J23" s="132"/>
      <c r="K23" s="132"/>
      <c r="L23" s="132"/>
      <c r="M23" s="132"/>
      <c r="N23" s="132"/>
      <c r="O23" s="132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140" t="s">
        <v>138</v>
      </c>
      <c r="AC23" s="611"/>
      <c r="AD23" s="141"/>
      <c r="AE23" s="142"/>
      <c r="AF23" s="142"/>
      <c r="AG23" s="142"/>
      <c r="AH23" s="142"/>
      <c r="AI23" s="142"/>
      <c r="AJ23" s="143"/>
      <c r="AK23"/>
      <c r="AL23" s="567">
        <v>0.23499999999999999</v>
      </c>
      <c r="AM23"/>
      <c r="AN23"/>
    </row>
    <row r="24" spans="1:43" s="2" customFormat="1" ht="22.5" customHeight="1" thickBot="1" x14ac:dyDescent="0.25">
      <c r="A24" s="707" t="s">
        <v>1</v>
      </c>
      <c r="B24" s="709" t="s">
        <v>0</v>
      </c>
      <c r="C24" s="658" t="s">
        <v>77</v>
      </c>
      <c r="D24" s="658" t="s">
        <v>119</v>
      </c>
      <c r="E24" s="658" t="s">
        <v>127</v>
      </c>
      <c r="F24" s="658" t="s">
        <v>113</v>
      </c>
      <c r="G24" s="658" t="s">
        <v>102</v>
      </c>
      <c r="H24" s="658" t="s">
        <v>79</v>
      </c>
      <c r="I24" s="658" t="s">
        <v>147</v>
      </c>
      <c r="J24" s="684" t="s">
        <v>146</v>
      </c>
      <c r="K24" s="684" t="s">
        <v>121</v>
      </c>
      <c r="L24" s="684" t="s">
        <v>145</v>
      </c>
      <c r="M24" s="684" t="s">
        <v>146</v>
      </c>
      <c r="N24" s="686" t="s">
        <v>85</v>
      </c>
      <c r="O24" s="686" t="s">
        <v>120</v>
      </c>
      <c r="P24" s="697" t="s">
        <v>86</v>
      </c>
      <c r="Q24" s="686" t="s">
        <v>101</v>
      </c>
      <c r="R24" s="686" t="s">
        <v>84</v>
      </c>
      <c r="S24" s="658" t="s">
        <v>206</v>
      </c>
      <c r="T24" s="686" t="s">
        <v>69</v>
      </c>
      <c r="U24" s="711" t="s">
        <v>59</v>
      </c>
      <c r="V24" s="712"/>
      <c r="W24" s="712"/>
      <c r="X24" s="712"/>
      <c r="Y24" s="713"/>
      <c r="Z24" s="699" t="s">
        <v>68</v>
      </c>
      <c r="AA24" s="658" t="s">
        <v>89</v>
      </c>
      <c r="AB24" s="658" t="s">
        <v>88</v>
      </c>
      <c r="AC24" s="658" t="s">
        <v>207</v>
      </c>
      <c r="AD24" s="658" t="s">
        <v>87</v>
      </c>
      <c r="AE24" s="658" t="s">
        <v>91</v>
      </c>
      <c r="AF24" s="658" t="s">
        <v>90</v>
      </c>
      <c r="AG24" s="658" t="s">
        <v>190</v>
      </c>
      <c r="AH24" s="658" t="s">
        <v>196</v>
      </c>
      <c r="AI24" s="696" t="s">
        <v>174</v>
      </c>
      <c r="AJ24" s="658" t="s">
        <v>92</v>
      </c>
      <c r="AK24" s="658" t="s">
        <v>186</v>
      </c>
      <c r="AL24" s="682" t="s">
        <v>68</v>
      </c>
      <c r="AM24" s="658" t="s">
        <v>188</v>
      </c>
      <c r="AN24" s="658" t="s">
        <v>189</v>
      </c>
    </row>
    <row r="25" spans="1:43" s="2" customFormat="1" ht="93" customHeight="1" thickBot="1" x14ac:dyDescent="0.25">
      <c r="A25" s="708"/>
      <c r="B25" s="710"/>
      <c r="C25" s="679"/>
      <c r="D25" s="679"/>
      <c r="E25" s="679"/>
      <c r="F25" s="679"/>
      <c r="G25" s="679"/>
      <c r="H25" s="679"/>
      <c r="I25" s="679"/>
      <c r="J25" s="685"/>
      <c r="K25" s="685"/>
      <c r="L25" s="685"/>
      <c r="M25" s="685"/>
      <c r="N25" s="687"/>
      <c r="O25" s="687"/>
      <c r="P25" s="698"/>
      <c r="Q25" s="687"/>
      <c r="R25" s="687"/>
      <c r="S25" s="679"/>
      <c r="T25" s="687"/>
      <c r="U25" s="77" t="s">
        <v>140</v>
      </c>
      <c r="V25" s="77" t="s">
        <v>61</v>
      </c>
      <c r="W25" s="77" t="s">
        <v>62</v>
      </c>
      <c r="X25" s="77" t="s">
        <v>63</v>
      </c>
      <c r="Y25" s="77" t="s">
        <v>64</v>
      </c>
      <c r="Z25" s="700"/>
      <c r="AA25" s="679"/>
      <c r="AB25" s="679"/>
      <c r="AC25" s="679"/>
      <c r="AD25" s="679"/>
      <c r="AE25" s="679"/>
      <c r="AF25" s="679"/>
      <c r="AG25" s="679"/>
      <c r="AH25" s="659"/>
      <c r="AI25" s="679"/>
      <c r="AJ25" s="679"/>
      <c r="AK25" s="679"/>
      <c r="AL25" s="683"/>
      <c r="AM25" s="679"/>
      <c r="AN25" s="679"/>
    </row>
    <row r="26" spans="1:43" s="1" customFormat="1" ht="21.75" customHeight="1" x14ac:dyDescent="0.2">
      <c r="A26" s="365">
        <v>835</v>
      </c>
      <c r="B26" s="366" t="s">
        <v>168</v>
      </c>
      <c r="C26" s="337">
        <v>0</v>
      </c>
      <c r="D26" s="337"/>
      <c r="E26" s="338"/>
      <c r="F26" s="339"/>
      <c r="G26" s="340">
        <v>3125</v>
      </c>
      <c r="H26" s="337">
        <f>SUM(G26:G26)</f>
        <v>3125</v>
      </c>
      <c r="I26" s="619"/>
      <c r="J26" s="341"/>
      <c r="K26" s="342">
        <f>H26*'DATOS REFERENCIALES'!$C$4</f>
        <v>29986.875</v>
      </c>
      <c r="L26" s="342"/>
      <c r="M26" s="367"/>
      <c r="N26" s="344">
        <f>LOOKUP(C26,'TABLA ANTIG.'!$A$4:$A$39,'TABLA ANTIG.'!$B$4:$B$39)*(K26)</f>
        <v>0</v>
      </c>
      <c r="O26" s="344">
        <f>(K26)*0.1</f>
        <v>2998.6875</v>
      </c>
      <c r="P26" s="342">
        <f>'DATOS REFERENCIALES'!$D$8</f>
        <v>12764</v>
      </c>
      <c r="Q26" s="344">
        <f>LOOKUP(C26,'TABLA ANTIG.'!$A$4:$A$39,'TABLA ANTIG.'!$B$4:$B$39)*(P26)</f>
        <v>0</v>
      </c>
      <c r="R26" s="343">
        <v>0</v>
      </c>
      <c r="S26" s="422">
        <f>IF(C26&gt;11,IF(H26&gt;2069,'DATOS REFERENCIALES'!$D$18,'DATOS REFERENCIALES'!$D$18/2070*H26),0)</f>
        <v>0</v>
      </c>
      <c r="T26" s="344">
        <f>K26+L26+M26+N26+O26+P26+Q26+R26+S26</f>
        <v>45749.5625</v>
      </c>
      <c r="U26" s="344">
        <f t="shared" ref="U26:U33" si="10">$T26*11%</f>
        <v>5032.4518749999997</v>
      </c>
      <c r="V26" s="344">
        <f t="shared" ref="V26:W33" si="11">$T26*3%</f>
        <v>1372.4868750000001</v>
      </c>
      <c r="W26" s="344">
        <f t="shared" si="11"/>
        <v>1372.4868750000001</v>
      </c>
      <c r="X26" s="344">
        <f t="shared" ref="X26:X33" si="12">$T26*2%</f>
        <v>914.99125000000004</v>
      </c>
      <c r="Y26" s="344">
        <f t="shared" ref="Y26:Y33" si="13">$T26*4.5%</f>
        <v>2058.7303124999999</v>
      </c>
      <c r="Z26" s="344">
        <f t="shared" ref="Z26:Z33" si="14">SUM(U26:Y26)</f>
        <v>10751.147187499999</v>
      </c>
      <c r="AA26" s="344">
        <f t="shared" ref="AA26:AA33" si="15">T26-Z26</f>
        <v>34998.415312500001</v>
      </c>
      <c r="AB26" s="424">
        <f>'DATOS REFERENCIALES'!$D$10</f>
        <v>4540</v>
      </c>
      <c r="AC26" s="422">
        <f>IF(C26&lt;12,IF(H26&gt;2069,'DATOS REFERENCIALES'!$D$17,'DATOS REFERENCIALES'!$D$17/2070*H26),0)</f>
        <v>5168</v>
      </c>
      <c r="AD26" s="422">
        <f>IF((IF(H26&gt;2069,('DATOS REFERENCIALES'!$D$9-(T26-U26-V26-W26-X26-Y26+AB26+AC26)),(('DATOS REFERENCIALES'!$D$9/2070)*H26)-(K26+N26+O26+P26+Q26+S26-U26-V26-W26-X26-Y26+AB26+AC26)))&lt;0,0,IF(H26&gt;2070,(('DATOS REFERENCIALES'!$D$9)-(T26-U26-V26-W26-X26-Y26+AB26+AC26)),(('DATOS REFERENCIALES'!$D$9/2070)*H26)-(K26+N26+O26+P26+Q26+S26-U26-V26-W26-X26-Y26+AB26+AC26)))</f>
        <v>12369.584687499999</v>
      </c>
      <c r="AE26" s="344">
        <f t="shared" ref="AE26:AE33" si="16">SUM(AA26:AD26)</f>
        <v>57076</v>
      </c>
      <c r="AF26" s="369">
        <f>'DATOS REFERENCIALES'!$D$13</f>
        <v>2420</v>
      </c>
      <c r="AG26" s="349" t="e">
        <f>IF($H26&gt;2042,'DATOS REFERENCIALES'!#REF!,'DATOS REFERENCIALES'!#REF!/2043*$H26)</f>
        <v>#REF!</v>
      </c>
      <c r="AH26" s="349">
        <f>+AF26</f>
        <v>2420</v>
      </c>
      <c r="AI26" s="344">
        <f>'DATOS REFERENCIALES'!$D$12</f>
        <v>420</v>
      </c>
      <c r="AJ26" s="676">
        <f>+AE26+AE27+AF26+AI26+AH26</f>
        <v>67004.349023360002</v>
      </c>
      <c r="AK26" s="660">
        <f>'DATOS REFERENCIALES'!D16</f>
        <v>4044.61</v>
      </c>
      <c r="AL26" s="676">
        <f t="shared" ref="AL26:AL32" si="17">AK26*$AL$8</f>
        <v>950.48334999999997</v>
      </c>
      <c r="AM26" s="676">
        <f t="shared" ref="AM26:AM32" si="18">AK26-AL26</f>
        <v>3094.1266500000002</v>
      </c>
      <c r="AN26" s="674">
        <f t="shared" ref="AN26:AN30" si="19">AJ26+AM26</f>
        <v>70098.475673360008</v>
      </c>
      <c r="AQ26" s="8"/>
    </row>
    <row r="27" spans="1:43" s="1" customFormat="1" ht="27" customHeight="1" thickBot="1" x14ac:dyDescent="0.25">
      <c r="A27" s="371">
        <v>835</v>
      </c>
      <c r="B27" s="372" t="s">
        <v>168</v>
      </c>
      <c r="C27" s="352">
        <f>IF(C26&gt;0,C26,0)</f>
        <v>0</v>
      </c>
      <c r="D27" s="352"/>
      <c r="E27" s="353"/>
      <c r="F27" s="354"/>
      <c r="G27" s="355"/>
      <c r="H27" s="352"/>
      <c r="I27" s="614">
        <f>234.38/'DATOS REFERENCIALES'!$I$4*'DATOS REFERENCIALES'!$J$4</f>
        <v>390.63333333333333</v>
      </c>
      <c r="J27" s="356" t="s">
        <v>149</v>
      </c>
      <c r="K27" s="357"/>
      <c r="L27" s="357">
        <f>I27*'DATOS REFERENCIALES'!$C$4</f>
        <v>3748.4393400000004</v>
      </c>
      <c r="M27" s="373">
        <f>IF(J27='DATOS REFERENCIALES'!$C$31,INICIAL!K26*'DATOS REFERENCIALES'!$D$31,IF(J27='DATOS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REFERENCIALES'!$D$37*INICIAL!K26),IF(J27='DATOS REFERENCIALES'!$C$38,('DATOS REFERENCIALES'!$D$38*INICIAL!K26),0))))))))</f>
        <v>1799.2124999999999</v>
      </c>
      <c r="N27" s="359">
        <f>LOOKUP(C27,'TABLA ANTIG.'!$A$4:$A$39,'TABLA ANTIG.'!$B$4:$B$39)*(L27+M27)</f>
        <v>0</v>
      </c>
      <c r="O27" s="359">
        <f>(L27+M27)*0.1</f>
        <v>554.76518400000009</v>
      </c>
      <c r="P27" s="357"/>
      <c r="Q27" s="359"/>
      <c r="R27" s="358"/>
      <c r="S27" s="359"/>
      <c r="T27" s="359">
        <f>K27+L27+M27+N27+O27+P27+Q27+R27</f>
        <v>6102.4170240000003</v>
      </c>
      <c r="U27" s="359">
        <f t="shared" si="10"/>
        <v>671.26587264</v>
      </c>
      <c r="V27" s="359">
        <f t="shared" si="11"/>
        <v>183.07251072</v>
      </c>
      <c r="W27" s="359">
        <f t="shared" si="11"/>
        <v>183.07251072</v>
      </c>
      <c r="X27" s="359">
        <f t="shared" si="12"/>
        <v>122.04834048000001</v>
      </c>
      <c r="Y27" s="359">
        <f t="shared" si="13"/>
        <v>274.60876608000001</v>
      </c>
      <c r="Z27" s="359">
        <f t="shared" si="14"/>
        <v>1434.0680006399998</v>
      </c>
      <c r="AA27" s="359">
        <f t="shared" si="15"/>
        <v>4668.3490233600005</v>
      </c>
      <c r="AB27" s="374"/>
      <c r="AC27" s="374"/>
      <c r="AD27" s="359"/>
      <c r="AE27" s="359">
        <f t="shared" si="16"/>
        <v>4668.3490233600005</v>
      </c>
      <c r="AF27" s="375"/>
      <c r="AG27" s="364"/>
      <c r="AH27" s="364"/>
      <c r="AI27" s="359"/>
      <c r="AJ27" s="677"/>
      <c r="AK27" s="661"/>
      <c r="AL27" s="677"/>
      <c r="AM27" s="677"/>
      <c r="AN27" s="675"/>
      <c r="AQ27" s="8"/>
    </row>
    <row r="28" spans="1:43" s="1" customFormat="1" ht="20.25" customHeight="1" x14ac:dyDescent="0.2">
      <c r="A28" s="395">
        <v>877</v>
      </c>
      <c r="B28" s="396" t="s">
        <v>169</v>
      </c>
      <c r="C28" s="276">
        <v>0</v>
      </c>
      <c r="D28" s="276"/>
      <c r="E28" s="325"/>
      <c r="F28" s="326"/>
      <c r="G28" s="327">
        <v>2667</v>
      </c>
      <c r="H28" s="276">
        <f>SUM(G28:G28)</f>
        <v>2667</v>
      </c>
      <c r="I28" s="620"/>
      <c r="J28" s="276"/>
      <c r="K28" s="278">
        <f>H28*'DATOS REFERENCIALES'!$C$4</f>
        <v>25591.998600000003</v>
      </c>
      <c r="L28" s="278"/>
      <c r="M28" s="279"/>
      <c r="N28" s="280">
        <f>LOOKUP(C28,'TABLA ANTIG.'!$A$4:$A$39,'TABLA ANTIG.'!$B$4:$B$39)*(K28)</f>
        <v>0</v>
      </c>
      <c r="O28" s="280">
        <f>(K28)*0.1</f>
        <v>2559.1998600000006</v>
      </c>
      <c r="P28" s="278">
        <f>'DATOS REFERENCIALES'!$D$8</f>
        <v>12764</v>
      </c>
      <c r="Q28" s="280">
        <f>LOOKUP(C28,'TABLA ANTIG.'!$A$4:$A$39,'TABLA ANTIG.'!$B$4:$B$39)*(P28)</f>
        <v>0</v>
      </c>
      <c r="R28" s="284">
        <v>0</v>
      </c>
      <c r="S28" s="415">
        <f>IF(C28&gt;11,IF(H28&gt;2069,'DATOS REFERENCIALES'!$D$18,'DATOS REFERENCIALES'!$D$18/2070*H28),0)</f>
        <v>0</v>
      </c>
      <c r="T28" s="280">
        <f>K28+L28+M28+N28+O28+P28+Q28+R28+S28</f>
        <v>40915.19846</v>
      </c>
      <c r="U28" s="280">
        <f t="shared" si="10"/>
        <v>4500.6718306000002</v>
      </c>
      <c r="V28" s="280">
        <f t="shared" si="11"/>
        <v>1227.4559537999999</v>
      </c>
      <c r="W28" s="280">
        <f t="shared" si="11"/>
        <v>1227.4559537999999</v>
      </c>
      <c r="X28" s="280">
        <f t="shared" si="12"/>
        <v>818.30396919999998</v>
      </c>
      <c r="Y28" s="280">
        <f t="shared" si="13"/>
        <v>1841.1839307</v>
      </c>
      <c r="Z28" s="280">
        <f t="shared" si="14"/>
        <v>9615.0716380999984</v>
      </c>
      <c r="AA28" s="280">
        <f t="shared" si="15"/>
        <v>31300.126821900001</v>
      </c>
      <c r="AB28" s="416">
        <f>'DATOS REFERENCIALES'!$D$10</f>
        <v>4540</v>
      </c>
      <c r="AC28" s="415">
        <f>IF(C28&lt;12,IF(H28&gt;2069,'DATOS REFERENCIALES'!$D$17,'DATOS REFERENCIALES'!$D$17/2070*H28),0)</f>
        <v>5168</v>
      </c>
      <c r="AD28" s="415">
        <f>IF((IF(H28&gt;2069,('DATOS REFERENCIALES'!$D$9-(T28-U28-V28-W28-X28-Y28+AB28+AC28)),(('DATOS REFERENCIALES'!$D$9/2070)*H28)-(K28+N28+O28+P28+Q28+S28-U28-V28-W28-X28-Y28+AB28+AC28)))&lt;0,0,IF(H28&gt;2070,(('DATOS REFERENCIALES'!$D$9)-(T28-U28-V28-W28-X28-Y28+AB28+AC28)),(('DATOS REFERENCIALES'!$D$9/2070)*H28)-(K28+N28+O28+P28+Q28+S28-U28-V28-W28-X28-Y28+AB28+AC28)))</f>
        <v>16067.87317810001</v>
      </c>
      <c r="AE28" s="280">
        <f t="shared" si="16"/>
        <v>57076.000000000015</v>
      </c>
      <c r="AF28" s="398">
        <f>'DATOS REFERENCIALES'!$D$13</f>
        <v>2420</v>
      </c>
      <c r="AG28" s="285" t="e">
        <f>IF($H28&gt;2042,'DATOS REFERENCIALES'!#REF!,'DATOS REFERENCIALES'!#REF!/2043*$H28)</f>
        <v>#REF!</v>
      </c>
      <c r="AH28" s="285">
        <f>+AF28</f>
        <v>2420</v>
      </c>
      <c r="AI28" s="280">
        <f>'DATOS REFERENCIALES'!$D$12</f>
        <v>420</v>
      </c>
      <c r="AJ28" s="664">
        <f>+AE28+AE29+AF28+AI28+AH28</f>
        <v>65028.025643285015</v>
      </c>
      <c r="AK28" s="662">
        <f>'DATOS REFERENCIALES'!D16</f>
        <v>4044.61</v>
      </c>
      <c r="AL28" s="664">
        <f t="shared" si="17"/>
        <v>950.48334999999997</v>
      </c>
      <c r="AM28" s="664">
        <f t="shared" si="18"/>
        <v>3094.1266500000002</v>
      </c>
      <c r="AN28" s="666">
        <f t="shared" si="19"/>
        <v>68122.15229328502</v>
      </c>
      <c r="AQ28" s="8"/>
    </row>
    <row r="29" spans="1:43" s="1" customFormat="1" ht="20.25" customHeight="1" thickBot="1" x14ac:dyDescent="0.25">
      <c r="A29" s="400">
        <v>877</v>
      </c>
      <c r="B29" s="401" t="s">
        <v>169</v>
      </c>
      <c r="C29" s="288">
        <f>IF(C28&gt;0,C28,0)</f>
        <v>0</v>
      </c>
      <c r="D29" s="328"/>
      <c r="E29" s="329"/>
      <c r="F29" s="330"/>
      <c r="G29" s="331"/>
      <c r="H29" s="328"/>
      <c r="I29" s="621">
        <f>200.03/'DATOS REFERENCIALES'!$I$4*'DATOS REFERENCIALES'!$J$4</f>
        <v>333.38333333333333</v>
      </c>
      <c r="J29" s="328"/>
      <c r="K29" s="332"/>
      <c r="L29" s="332">
        <f>I29*'DATOS REFERENCIALES'!$C$4</f>
        <v>3199.0797900000002</v>
      </c>
      <c r="M29" s="402"/>
      <c r="N29" s="299">
        <f>LOOKUP(C29,'TABLA ANTIG.'!$A$4:$A$39,'TABLA ANTIG.'!$B$4:$B$39)*(L29+M29)</f>
        <v>0</v>
      </c>
      <c r="O29" s="299">
        <f>(L29+M29)*0.1</f>
        <v>319.90797900000007</v>
      </c>
      <c r="P29" s="332"/>
      <c r="Q29" s="299"/>
      <c r="R29" s="297"/>
      <c r="S29" s="333"/>
      <c r="T29" s="299">
        <f>K29+L29+M29+N29+O29+P29+Q29+R29</f>
        <v>3518.9877690000003</v>
      </c>
      <c r="U29" s="299">
        <f t="shared" si="10"/>
        <v>387.08865459000003</v>
      </c>
      <c r="V29" s="299">
        <f t="shared" si="11"/>
        <v>105.56963307000001</v>
      </c>
      <c r="W29" s="299">
        <f t="shared" si="11"/>
        <v>105.56963307000001</v>
      </c>
      <c r="X29" s="299">
        <f t="shared" si="12"/>
        <v>70.379755380000006</v>
      </c>
      <c r="Y29" s="299">
        <f t="shared" si="13"/>
        <v>158.35444960500001</v>
      </c>
      <c r="Z29" s="299">
        <f t="shared" si="14"/>
        <v>826.96212571500007</v>
      </c>
      <c r="AA29" s="299">
        <f t="shared" si="15"/>
        <v>2692.0256432850001</v>
      </c>
      <c r="AB29" s="403"/>
      <c r="AC29" s="403"/>
      <c r="AD29" s="299"/>
      <c r="AE29" s="299">
        <f t="shared" si="16"/>
        <v>2692.0256432850001</v>
      </c>
      <c r="AF29" s="404"/>
      <c r="AG29" s="526"/>
      <c r="AH29" s="526"/>
      <c r="AI29" s="299"/>
      <c r="AJ29" s="665"/>
      <c r="AK29" s="663"/>
      <c r="AL29" s="665"/>
      <c r="AM29" s="665"/>
      <c r="AN29" s="667"/>
      <c r="AQ29" s="8"/>
    </row>
    <row r="30" spans="1:43" s="1" customFormat="1" ht="23.25" customHeight="1" x14ac:dyDescent="0.2">
      <c r="A30" s="391">
        <v>838</v>
      </c>
      <c r="B30" s="392" t="s">
        <v>4</v>
      </c>
      <c r="C30" s="302">
        <v>0</v>
      </c>
      <c r="D30" s="302"/>
      <c r="E30" s="378"/>
      <c r="F30" s="379"/>
      <c r="G30" s="380">
        <v>2359</v>
      </c>
      <c r="H30" s="302">
        <f>SUM(G30:G30)</f>
        <v>2359</v>
      </c>
      <c r="I30" s="616"/>
      <c r="J30" s="302"/>
      <c r="K30" s="304">
        <f>H30*'DATOS REFERENCIALES'!$C$4</f>
        <v>22636.492200000001</v>
      </c>
      <c r="L30" s="304"/>
      <c r="M30" s="305"/>
      <c r="N30" s="306">
        <f>LOOKUP(C30,'TABLA ANTIG.'!$A$4:$A$39,'TABLA ANTIG.'!$B$4:$B$39)*(K30+L30+M30)</f>
        <v>0</v>
      </c>
      <c r="O30" s="306">
        <f>(K30)*0.1</f>
        <v>2263.6492200000002</v>
      </c>
      <c r="P30" s="304">
        <f>'DATOS REFERENCIALES'!$D$8</f>
        <v>12764</v>
      </c>
      <c r="Q30" s="306">
        <f>LOOKUP(C30,'TABLA ANTIG.'!$A$4:$A$39,'TABLA ANTIG.'!$B$4:$B$39)*(P30)</f>
        <v>0</v>
      </c>
      <c r="R30" s="309">
        <v>0</v>
      </c>
      <c r="S30" s="411">
        <f>IF(C30&gt;11,IF(H30&gt;2069,'DATOS REFERENCIALES'!$D$18,'DATOS REFERENCIALES'!$D$18/2070*H30),0)</f>
        <v>0</v>
      </c>
      <c r="T30" s="306">
        <f>K30+L30+M30+N30+O30+P30+Q30+R30+S30</f>
        <v>37664.14142</v>
      </c>
      <c r="U30" s="306">
        <f t="shared" si="10"/>
        <v>4143.0555562</v>
      </c>
      <c r="V30" s="306">
        <f t="shared" si="11"/>
        <v>1129.9242425999998</v>
      </c>
      <c r="W30" s="306">
        <f t="shared" si="11"/>
        <v>1129.9242425999998</v>
      </c>
      <c r="X30" s="306">
        <f t="shared" si="12"/>
        <v>753.28282839999997</v>
      </c>
      <c r="Y30" s="306">
        <f t="shared" si="13"/>
        <v>1694.8863638999999</v>
      </c>
      <c r="Z30" s="306">
        <f t="shared" si="14"/>
        <v>8851.073233699999</v>
      </c>
      <c r="AA30" s="306">
        <f t="shared" si="15"/>
        <v>28813.068186299999</v>
      </c>
      <c r="AB30" s="412">
        <f>'DATOS REFERENCIALES'!$D$10</f>
        <v>4540</v>
      </c>
      <c r="AC30" s="411">
        <f>IF(C30&lt;12,IF(H30&gt;2069,'DATOS REFERENCIALES'!$D$17,'DATOS REFERENCIALES'!$D$17/2070*H30),0)</f>
        <v>5168</v>
      </c>
      <c r="AD30" s="411">
        <f>IF((IF(H30&gt;2069,('DATOS REFERENCIALES'!$D$9-(T30-U30-V30-W30-X30-Y30+AB30+AC30)),(('DATOS REFERENCIALES'!$D$9/2070)*H30)-(K30+N30+O30+P30+Q30+S30-U30-V30-W30-X30-Y30+AB30+AC30)))&lt;0,0,IF(H30&gt;2070,(('DATOS REFERENCIALES'!$D$9)-(T30-U30-V30-W30-X30-Y30+AB30+AC30)),(('DATOS REFERENCIALES'!$D$9/2070)*H30)-(K30+N30+O30+P30+Q30+S30-U30-V30-W30-X30-Y30+AB30+AC30)))</f>
        <v>18554.931813699994</v>
      </c>
      <c r="AE30" s="306">
        <f t="shared" si="16"/>
        <v>57075.999999999993</v>
      </c>
      <c r="AF30" s="382">
        <f>'DATOS REFERENCIALES'!$D$13</f>
        <v>2420</v>
      </c>
      <c r="AG30" s="311" t="e">
        <f>IF($H30&gt;2042,'DATOS REFERENCIALES'!#REF!,'DATOS REFERENCIALES'!#REF!/2043*$H30)</f>
        <v>#REF!</v>
      </c>
      <c r="AH30" s="311">
        <f>+AF30</f>
        <v>2420</v>
      </c>
      <c r="AI30" s="306">
        <f>'DATOS REFERENCIALES'!$D$12</f>
        <v>420</v>
      </c>
      <c r="AJ30" s="670">
        <f>+AE30+AE31+AF30+AI30+AH30</f>
        <v>64717.143313834989</v>
      </c>
      <c r="AK30" s="668">
        <f>'DATOS REFERENCIALES'!D16</f>
        <v>4044.61</v>
      </c>
      <c r="AL30" s="670">
        <f t="shared" si="17"/>
        <v>950.48334999999997</v>
      </c>
      <c r="AM30" s="670">
        <f t="shared" si="18"/>
        <v>3094.1266500000002</v>
      </c>
      <c r="AN30" s="672">
        <f t="shared" si="19"/>
        <v>67811.269963834988</v>
      </c>
      <c r="AQ30" s="8"/>
    </row>
    <row r="31" spans="1:43" s="1" customFormat="1" ht="23.25" customHeight="1" thickBot="1" x14ac:dyDescent="0.25">
      <c r="A31" s="393">
        <v>838</v>
      </c>
      <c r="B31" s="394" t="s">
        <v>4</v>
      </c>
      <c r="C31" s="314">
        <f>IF(C30&gt;0,C30,0)</f>
        <v>0</v>
      </c>
      <c r="D31" s="314"/>
      <c r="E31" s="385"/>
      <c r="F31" s="386"/>
      <c r="G31" s="387"/>
      <c r="H31" s="314"/>
      <c r="I31" s="617">
        <f>176.93/'DATOS REFERENCIALES'!$I$4*'DATOS REFERENCIALES'!$J$4</f>
        <v>294.88333333333333</v>
      </c>
      <c r="J31" s="314"/>
      <c r="K31" s="316"/>
      <c r="L31" s="316">
        <f>I31*'DATOS REFERENCIALES'!$C$4</f>
        <v>2829.64149</v>
      </c>
      <c r="M31" s="317"/>
      <c r="N31" s="320">
        <f>LOOKUP(C31,'TABLA ANTIG.'!$A$4:$A$39,'TABLA ANTIG.'!$B$4:$B$39)*(K31+L31+M31)</f>
        <v>0</v>
      </c>
      <c r="O31" s="320">
        <f>(L31+M31)*0.1</f>
        <v>282.96414900000002</v>
      </c>
      <c r="P31" s="316"/>
      <c r="Q31" s="320"/>
      <c r="R31" s="322"/>
      <c r="S31" s="321"/>
      <c r="T31" s="320">
        <f>K31+L31+M31+N31+O31+P31+Q31+R31</f>
        <v>3112.6056389999999</v>
      </c>
      <c r="U31" s="320">
        <f t="shared" si="10"/>
        <v>342.38662029</v>
      </c>
      <c r="V31" s="320">
        <f t="shared" si="11"/>
        <v>93.378169169999993</v>
      </c>
      <c r="W31" s="320">
        <f t="shared" si="11"/>
        <v>93.378169169999993</v>
      </c>
      <c r="X31" s="320">
        <f t="shared" si="12"/>
        <v>62.252112779999997</v>
      </c>
      <c r="Y31" s="320">
        <f t="shared" si="13"/>
        <v>140.067253755</v>
      </c>
      <c r="Z31" s="320">
        <f t="shared" si="14"/>
        <v>731.46232516499992</v>
      </c>
      <c r="AA31" s="320">
        <f t="shared" si="15"/>
        <v>2381.1433138349998</v>
      </c>
      <c r="AB31" s="388"/>
      <c r="AC31" s="388"/>
      <c r="AD31" s="320"/>
      <c r="AE31" s="320">
        <f t="shared" si="16"/>
        <v>2381.1433138349998</v>
      </c>
      <c r="AF31" s="389"/>
      <c r="AG31" s="324"/>
      <c r="AH31" s="324"/>
      <c r="AI31" s="320"/>
      <c r="AJ31" s="678"/>
      <c r="AK31" s="669"/>
      <c r="AL31" s="671"/>
      <c r="AM31" s="671"/>
      <c r="AN31" s="673"/>
      <c r="AQ31" s="8"/>
    </row>
    <row r="32" spans="1:43" s="1" customFormat="1" ht="21" customHeight="1" x14ac:dyDescent="0.2">
      <c r="A32" s="160">
        <v>906</v>
      </c>
      <c r="B32" s="207" t="s">
        <v>54</v>
      </c>
      <c r="C32" s="119">
        <v>0</v>
      </c>
      <c r="D32" s="119"/>
      <c r="E32" s="208"/>
      <c r="F32" s="119"/>
      <c r="G32" s="210">
        <v>2240</v>
      </c>
      <c r="H32" s="119">
        <f>SUM(G32:G32)</f>
        <v>2240</v>
      </c>
      <c r="I32" s="618"/>
      <c r="J32" s="119"/>
      <c r="K32" s="105">
        <f>H32*'DATOS REFERENCIALES'!$C$4</f>
        <v>21494.592000000001</v>
      </c>
      <c r="L32" s="105"/>
      <c r="M32" s="200"/>
      <c r="N32" s="106">
        <f>LOOKUP(C32,'TABLA ANTIG.'!$A$4:$A$39,'TABLA ANTIG.'!$B$4:$B$39)*(K32+L32+M32)</f>
        <v>0</v>
      </c>
      <c r="O32" s="113">
        <f>(K32+L32+M32)*0.1</f>
        <v>2149.4592000000002</v>
      </c>
      <c r="P32" s="105">
        <f>'DATOS REFERENCIALES'!$D$8</f>
        <v>12764</v>
      </c>
      <c r="Q32" s="106">
        <f>LOOKUP(C32,'TABLA ANTIG.'!$A$4:$A$39,'TABLA ANTIG.'!$B$4:$B$39)*(P32)</f>
        <v>0</v>
      </c>
      <c r="R32" s="205">
        <v>0</v>
      </c>
      <c r="S32" s="545">
        <f>IF(C32&gt;11,IF(H32&gt;2069,'DATOS REFERENCIALES'!$D$18,'DATOS REFERENCIALES'!$D$18/2070*H32),0)</f>
        <v>0</v>
      </c>
      <c r="T32" s="633">
        <f>K32+L32+M32+N32+O32+P32+Q32+R32+S32</f>
        <v>36408.051200000002</v>
      </c>
      <c r="U32" s="106">
        <f t="shared" si="10"/>
        <v>4004.885632</v>
      </c>
      <c r="V32" s="106">
        <f t="shared" si="11"/>
        <v>1092.241536</v>
      </c>
      <c r="W32" s="106">
        <f t="shared" si="11"/>
        <v>1092.241536</v>
      </c>
      <c r="X32" s="106">
        <f t="shared" si="12"/>
        <v>728.161024</v>
      </c>
      <c r="Y32" s="106">
        <f t="shared" si="13"/>
        <v>1638.362304</v>
      </c>
      <c r="Z32" s="113">
        <f t="shared" si="14"/>
        <v>8555.8920319999997</v>
      </c>
      <c r="AA32" s="106">
        <f t="shared" si="15"/>
        <v>27852.159168000002</v>
      </c>
      <c r="AB32" s="147">
        <f>'DATOS REFERENCIALES'!$D$10</f>
        <v>4540</v>
      </c>
      <c r="AC32" s="545">
        <f>IF(C32&lt;12,IF(H32&gt;2069,'DATOS REFERENCIALES'!$D$17,'DATOS REFERENCIALES'!$D$17/2070*H32),0)</f>
        <v>5168</v>
      </c>
      <c r="AD32" s="79">
        <f>IF((IF(H32&gt;2069,('DATOS REFERENCIALES'!$D$9-(T32-U32-V32-W32-X32-Y32+AB32+AC32)),(('DATOS REFERENCIALES'!$D$9/2070)*H32)-(K32+N32+O32+P32+Q32+S32-U32-V32-W32-X32-Y32+AB32+AC32)))&lt;0,0,IF(H32&gt;2070,(('DATOS REFERENCIALES'!$D$9)-(T32-U32-V32-W32-X32-Y32+AB32+AC32)),(('DATOS REFERENCIALES'!$D$9/2070)*H32)-(K32+N32+O32+P32+Q32+S32-U32-V32-W32-X32-Y32+AB32+AC32)))</f>
        <v>19515.840832000002</v>
      </c>
      <c r="AE32" s="106">
        <f t="shared" si="16"/>
        <v>57076</v>
      </c>
      <c r="AF32" s="204">
        <f>'DATOS REFERENCIALES'!$D$13</f>
        <v>2420</v>
      </c>
      <c r="AG32" s="527" t="e">
        <f>IF($H32&gt;2042,'DATOS REFERENCIALES'!#REF!,'DATOS REFERENCIALES'!#REF!/2043*$H32)</f>
        <v>#REF!</v>
      </c>
      <c r="AH32" s="527">
        <f>+AF32</f>
        <v>2420</v>
      </c>
      <c r="AI32" s="106">
        <f>'DATOS REFERENCIALES'!$D$12</f>
        <v>420</v>
      </c>
      <c r="AJ32" s="149">
        <f>+AE32+AF32+AI32+AH32</f>
        <v>62336</v>
      </c>
      <c r="AK32" s="651">
        <f>'DATOS REFERENCIALES'!D16</f>
        <v>4044.61</v>
      </c>
      <c r="AL32" s="564">
        <f t="shared" si="17"/>
        <v>950.48334999999997</v>
      </c>
      <c r="AM32" s="564">
        <f t="shared" si="18"/>
        <v>3094.1266500000002</v>
      </c>
      <c r="AN32" s="565">
        <f>AJ32+AM32</f>
        <v>65430.126649999998</v>
      </c>
      <c r="AQ32" s="8"/>
    </row>
    <row r="33" spans="1:43" s="1" customFormat="1" ht="21.75" customHeight="1" thickBot="1" x14ac:dyDescent="0.25">
      <c r="A33" s="75">
        <v>566</v>
      </c>
      <c r="B33" s="76" t="s">
        <v>9</v>
      </c>
      <c r="C33" s="57">
        <v>0</v>
      </c>
      <c r="D33" s="24">
        <v>1</v>
      </c>
      <c r="E33" s="209"/>
      <c r="F33" s="57"/>
      <c r="G33" s="211">
        <v>56</v>
      </c>
      <c r="H33" s="57">
        <f>SUM(G33:G33)</f>
        <v>56</v>
      </c>
      <c r="I33" s="622"/>
      <c r="J33" s="57"/>
      <c r="K33" s="90">
        <f>(H33*'DATOS REFERENCIALES'!$C$4)*D33</f>
        <v>537.36480000000006</v>
      </c>
      <c r="L33" s="90"/>
      <c r="M33" s="188"/>
      <c r="N33" s="80">
        <f>LOOKUP(C33,'TABLA ANTIG.'!$A$4:$A$39,'TABLA ANTIG.'!$B$4:$B$39)*(K33+L33+M33)</f>
        <v>0</v>
      </c>
      <c r="O33" s="28">
        <f>(K33+L33+M33)*0.1</f>
        <v>53.736480000000007</v>
      </c>
      <c r="P33" s="90">
        <f>IF(D33&gt;48,'DATOS REFERENCIALES'!$D$8+('DATOS REFERENCIALES'!$F$8*10),IF(D33&lt;39,'DATOS REFERENCIALES'!$E$8*D33,((D33-'DATOS REFERENCIALES'!$I$8)*'DATOS REFERENCIALES'!$F$8)+'DATOS REFERENCIALES'!$D$8))</f>
        <v>335.89473684210526</v>
      </c>
      <c r="Q33" s="80">
        <f>LOOKUP(C33,'TABLA ANTIG.'!$A$4:$A$39,'TABLA ANTIG.'!$B$4:$B$39)*(P33)</f>
        <v>0</v>
      </c>
      <c r="R33" s="212">
        <v>0</v>
      </c>
      <c r="S33" s="551">
        <f>IF(C33&gt;11,IF(H33&gt;1134,'DATOS REFERENCIALES'!$C$18,'DATOS REFERENCIALES'!$C$18/20*D33),0)</f>
        <v>0</v>
      </c>
      <c r="T33" s="359">
        <f>K33+L33+M33+N33+O33+P33+Q33+R33+S33</f>
        <v>926.99601684210529</v>
      </c>
      <c r="U33" s="28">
        <f t="shared" si="10"/>
        <v>101.96956185263159</v>
      </c>
      <c r="V33" s="28">
        <f t="shared" si="11"/>
        <v>27.809880505263159</v>
      </c>
      <c r="W33" s="28">
        <f t="shared" si="11"/>
        <v>27.809880505263159</v>
      </c>
      <c r="X33" s="28">
        <f t="shared" si="12"/>
        <v>18.539920336842105</v>
      </c>
      <c r="Y33" s="28">
        <f t="shared" si="13"/>
        <v>41.714820757894735</v>
      </c>
      <c r="Z33" s="28">
        <f t="shared" si="14"/>
        <v>217.84406395789472</v>
      </c>
      <c r="AA33" s="80">
        <f t="shared" si="15"/>
        <v>709.15195288421057</v>
      </c>
      <c r="AB33" s="80">
        <f>IF(D33&gt;38,'DATOS REFERENCIALES'!$D$10,'DATOS REFERENCIALES'!$E$10*D33)</f>
        <v>119.47368421052632</v>
      </c>
      <c r="AC33" s="551">
        <f>IF(C33&lt;12,IF(H33&gt;1134,'DATOS REFERENCIALES'!$C$17,'DATOS REFERENCIALES'!$C$17/20*D33),0)</f>
        <v>129.19999999999999</v>
      </c>
      <c r="AD33" s="80">
        <f>IF(D33&gt;41,IF((('DATOS REFERENCIALES'!$D$9)-((T33)+(AB33)+(AC33)))&lt;0,0,((('DATOS REFERENCIALES'!$D$9)-((T33)-(Z33)+(AB33)+(AC33))))),IF((('DATOS REFERENCIALES'!$E$9*D33)-(((T33)+(AB33)+(AC33))))&lt;0,0,('DATOS REFERENCIALES'!$E$9*D33)-((T33)-(Z33)+(AB33)+(AC33))))</f>
        <v>469.07436290526311</v>
      </c>
      <c r="AE33" s="80">
        <f t="shared" si="16"/>
        <v>1426.9</v>
      </c>
      <c r="AF33" s="168">
        <f>IF(D33&gt;'DATOS REFERENCIALES'!$I$13,'DATOS REFERENCIALES'!$D$13,('DATOS REFERENCIALES'!$E$13*D33))</f>
        <v>80.666666666666671</v>
      </c>
      <c r="AG33" s="92" t="e">
        <f>IF(D33&gt;'DATOS REFERENCIALES'!#REF!,'DATOS REFERENCIALES'!#REF!,('DATOS REFERENCIALES'!#REF!*D33))</f>
        <v>#REF!</v>
      </c>
      <c r="AH33" s="92">
        <f>+AF33</f>
        <v>80.666666666666671</v>
      </c>
      <c r="AI33" s="80">
        <f>IF(D33&gt;'DATOS REFERENCIALES'!$I$12,'DATOS REFERENCIALES'!$D$12,'DATOS REFERENCIALES'!$E$12*D33)</f>
        <v>14</v>
      </c>
      <c r="AJ33" s="150">
        <f>+AE33+AF33+AI33+AH33</f>
        <v>1602.2333333333336</v>
      </c>
      <c r="AK33" s="614">
        <f>IF(D33&gt;'DATOS REFERENCIALES'!$I$16,'DATOS REFERENCIALES'!$D$16,'DATOS REFERENCIALES'!$E$16*D33)</f>
        <v>134.82033333333334</v>
      </c>
      <c r="AL33" s="28">
        <f>AK33*$AL$8</f>
        <v>31.682778333333331</v>
      </c>
      <c r="AM33" s="28">
        <f>AK33-AL33</f>
        <v>103.13755500000001</v>
      </c>
      <c r="AN33" s="560">
        <f>AJ33+AM33</f>
        <v>1705.3708883333336</v>
      </c>
      <c r="AQ33" s="8"/>
    </row>
  </sheetData>
  <dataConsolidate/>
  <mergeCells count="107">
    <mergeCell ref="K3:AA5"/>
    <mergeCell ref="L24:L25"/>
    <mergeCell ref="M24:M25"/>
    <mergeCell ref="A6:AJ6"/>
    <mergeCell ref="A7:AJ7"/>
    <mergeCell ref="AB8:AJ8"/>
    <mergeCell ref="G24:G25"/>
    <mergeCell ref="H24:H25"/>
    <mergeCell ref="L9:L10"/>
    <mergeCell ref="C24:C25"/>
    <mergeCell ref="E24:E25"/>
    <mergeCell ref="F24:F25"/>
    <mergeCell ref="AA24:AA25"/>
    <mergeCell ref="T24:T25"/>
    <mergeCell ref="M9:M10"/>
    <mergeCell ref="I9:I10"/>
    <mergeCell ref="AC9:AC10"/>
    <mergeCell ref="A24:A25"/>
    <mergeCell ref="N24:N25"/>
    <mergeCell ref="B24:B25"/>
    <mergeCell ref="K24:K25"/>
    <mergeCell ref="U24:Y24"/>
    <mergeCell ref="A9:A10"/>
    <mergeCell ref="B9:B10"/>
    <mergeCell ref="AO11:AQ21"/>
    <mergeCell ref="O24:O25"/>
    <mergeCell ref="AD24:AD25"/>
    <mergeCell ref="AJ9:AJ10"/>
    <mergeCell ref="AD9:AD10"/>
    <mergeCell ref="AE24:AE25"/>
    <mergeCell ref="AE9:AE10"/>
    <mergeCell ref="AI9:AI10"/>
    <mergeCell ref="AI24:AI25"/>
    <mergeCell ref="AG9:AG10"/>
    <mergeCell ref="AG24:AG25"/>
    <mergeCell ref="Q9:Q10"/>
    <mergeCell ref="Q24:Q25"/>
    <mergeCell ref="AB9:AB10"/>
    <mergeCell ref="P9:P10"/>
    <mergeCell ref="Z24:Z25"/>
    <mergeCell ref="P24:P25"/>
    <mergeCell ref="U9:Y9"/>
    <mergeCell ref="Z9:Z10"/>
    <mergeCell ref="AA9:AA10"/>
    <mergeCell ref="T9:T10"/>
    <mergeCell ref="S9:S10"/>
    <mergeCell ref="S24:S25"/>
    <mergeCell ref="AB24:AB25"/>
    <mergeCell ref="D9:D10"/>
    <mergeCell ref="AF24:AF25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I24:I25"/>
    <mergeCell ref="J9:J10"/>
    <mergeCell ref="J24:J25"/>
    <mergeCell ref="AK15:AK16"/>
    <mergeCell ref="AK24:AK25"/>
    <mergeCell ref="AL24:AL25"/>
    <mergeCell ref="AM24:AM25"/>
    <mergeCell ref="AN24:AN25"/>
    <mergeCell ref="AC24:AC25"/>
    <mergeCell ref="AK9:AK10"/>
    <mergeCell ref="AL9:AL10"/>
    <mergeCell ref="AM9:AM10"/>
    <mergeCell ref="AN9:AN10"/>
    <mergeCell ref="AK11:AK12"/>
    <mergeCell ref="AL11:AL12"/>
    <mergeCell ref="AM11:AM12"/>
    <mergeCell ref="AN11:AN12"/>
    <mergeCell ref="AK13:AK14"/>
    <mergeCell ref="AL13:AL14"/>
    <mergeCell ref="AM13:AM14"/>
    <mergeCell ref="AN13:AN14"/>
    <mergeCell ref="AF9:AF10"/>
    <mergeCell ref="AH9:AH10"/>
    <mergeCell ref="AK26:AK27"/>
    <mergeCell ref="AK28:AK29"/>
    <mergeCell ref="AL28:AL29"/>
    <mergeCell ref="AM28:AM29"/>
    <mergeCell ref="AN28:AN29"/>
    <mergeCell ref="AK30:AK31"/>
    <mergeCell ref="AL30:AL31"/>
    <mergeCell ref="AM30:AM31"/>
    <mergeCell ref="AN30:AN31"/>
    <mergeCell ref="AN26:AN27"/>
    <mergeCell ref="AM26:AM27"/>
    <mergeCell ref="AL26:AL27"/>
    <mergeCell ref="AH24:AH25"/>
    <mergeCell ref="AJ28:AJ29"/>
    <mergeCell ref="AJ30:AJ31"/>
    <mergeCell ref="AJ11:AJ12"/>
    <mergeCell ref="AJ13:AJ14"/>
    <mergeCell ref="AJ15:AJ16"/>
    <mergeCell ref="AJ26:AJ27"/>
    <mergeCell ref="AJ24:AJ25"/>
    <mergeCell ref="AL15:AL16"/>
    <mergeCell ref="AM15:AM16"/>
    <mergeCell ref="AN15:AN16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63"/>
  <sheetViews>
    <sheetView topLeftCell="A40" workbookViewId="0">
      <selection activeCell="F5" sqref="F5"/>
    </sheetView>
  </sheetViews>
  <sheetFormatPr baseColWidth="10" defaultRowHeight="12.75" x14ac:dyDescent="0.2"/>
  <sheetData>
    <row r="4" spans="1:1" ht="20.25" x14ac:dyDescent="0.3">
      <c r="A4" s="164">
        <v>1</v>
      </c>
    </row>
    <row r="5" spans="1:1" ht="20.25" x14ac:dyDescent="0.3">
      <c r="A5" s="164">
        <v>2</v>
      </c>
    </row>
    <row r="6" spans="1:1" ht="20.25" x14ac:dyDescent="0.3">
      <c r="A6" s="164">
        <v>3</v>
      </c>
    </row>
    <row r="7" spans="1:1" ht="20.25" x14ac:dyDescent="0.3">
      <c r="A7" s="164">
        <v>4</v>
      </c>
    </row>
    <row r="8" spans="1:1" ht="20.25" x14ac:dyDescent="0.3">
      <c r="A8" s="164">
        <v>5</v>
      </c>
    </row>
    <row r="9" spans="1:1" ht="20.25" x14ac:dyDescent="0.3">
      <c r="A9" s="164">
        <v>6</v>
      </c>
    </row>
    <row r="10" spans="1:1" ht="20.25" x14ac:dyDescent="0.3">
      <c r="A10" s="164">
        <v>7</v>
      </c>
    </row>
    <row r="11" spans="1:1" ht="20.25" x14ac:dyDescent="0.3">
      <c r="A11" s="164">
        <v>8</v>
      </c>
    </row>
    <row r="12" spans="1:1" ht="20.25" x14ac:dyDescent="0.3">
      <c r="A12" s="164">
        <v>9</v>
      </c>
    </row>
    <row r="13" spans="1:1" ht="20.25" x14ac:dyDescent="0.3">
      <c r="A13" s="164">
        <v>10</v>
      </c>
    </row>
    <row r="14" spans="1:1" ht="20.25" x14ac:dyDescent="0.3">
      <c r="A14" s="164">
        <v>11</v>
      </c>
    </row>
    <row r="15" spans="1:1" ht="20.25" x14ac:dyDescent="0.3">
      <c r="A15" s="164">
        <v>12</v>
      </c>
    </row>
    <row r="16" spans="1:1" ht="20.25" x14ac:dyDescent="0.3">
      <c r="A16" s="164">
        <v>13</v>
      </c>
    </row>
    <row r="17" spans="1:1" ht="20.25" x14ac:dyDescent="0.3">
      <c r="A17" s="164">
        <v>14</v>
      </c>
    </row>
    <row r="18" spans="1:1" ht="20.25" x14ac:dyDescent="0.3">
      <c r="A18" s="164">
        <v>15</v>
      </c>
    </row>
    <row r="19" spans="1:1" ht="20.25" x14ac:dyDescent="0.3">
      <c r="A19" s="164">
        <v>16</v>
      </c>
    </row>
    <row r="20" spans="1:1" ht="20.25" x14ac:dyDescent="0.3">
      <c r="A20" s="164">
        <v>17</v>
      </c>
    </row>
    <row r="21" spans="1:1" ht="20.25" x14ac:dyDescent="0.3">
      <c r="A21" s="164">
        <v>18</v>
      </c>
    </row>
    <row r="22" spans="1:1" ht="20.25" x14ac:dyDescent="0.3">
      <c r="A22" s="164">
        <v>19</v>
      </c>
    </row>
    <row r="23" spans="1:1" ht="20.25" x14ac:dyDescent="0.3">
      <c r="A23" s="164">
        <v>20</v>
      </c>
    </row>
    <row r="24" spans="1:1" ht="20.25" x14ac:dyDescent="0.3">
      <c r="A24" s="164">
        <v>21</v>
      </c>
    </row>
    <row r="25" spans="1:1" ht="20.25" x14ac:dyDescent="0.3">
      <c r="A25" s="164">
        <v>22</v>
      </c>
    </row>
    <row r="26" spans="1:1" ht="20.25" x14ac:dyDescent="0.3">
      <c r="A26" s="164">
        <v>23</v>
      </c>
    </row>
    <row r="27" spans="1:1" ht="20.25" x14ac:dyDescent="0.3">
      <c r="A27" s="164">
        <v>24</v>
      </c>
    </row>
    <row r="28" spans="1:1" ht="20.25" x14ac:dyDescent="0.3">
      <c r="A28" s="164">
        <v>25</v>
      </c>
    </row>
    <row r="29" spans="1:1" x14ac:dyDescent="0.2">
      <c r="A29">
        <v>26</v>
      </c>
    </row>
    <row r="30" spans="1:1" x14ac:dyDescent="0.2">
      <c r="A30">
        <v>27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30</v>
      </c>
    </row>
    <row r="34" spans="1:1" x14ac:dyDescent="0.2">
      <c r="A34">
        <v>31</v>
      </c>
    </row>
    <row r="35" spans="1:1" x14ac:dyDescent="0.2">
      <c r="A35">
        <v>32</v>
      </c>
    </row>
    <row r="36" spans="1:1" x14ac:dyDescent="0.2">
      <c r="A36">
        <v>33</v>
      </c>
    </row>
    <row r="37" spans="1:1" x14ac:dyDescent="0.2">
      <c r="A37">
        <v>34</v>
      </c>
    </row>
    <row r="38" spans="1:1" x14ac:dyDescent="0.2">
      <c r="A38">
        <v>35</v>
      </c>
    </row>
    <row r="39" spans="1:1" x14ac:dyDescent="0.2">
      <c r="A39">
        <v>36</v>
      </c>
    </row>
    <row r="40" spans="1:1" x14ac:dyDescent="0.2">
      <c r="A40">
        <v>37</v>
      </c>
    </row>
    <row r="41" spans="1:1" x14ac:dyDescent="0.2">
      <c r="A41">
        <v>38</v>
      </c>
    </row>
    <row r="42" spans="1:1" x14ac:dyDescent="0.2">
      <c r="A42">
        <v>39</v>
      </c>
    </row>
    <row r="43" spans="1:1" x14ac:dyDescent="0.2">
      <c r="A43">
        <v>40</v>
      </c>
    </row>
    <row r="44" spans="1:1" x14ac:dyDescent="0.2">
      <c r="A44">
        <v>41</v>
      </c>
    </row>
    <row r="45" spans="1:1" x14ac:dyDescent="0.2">
      <c r="A45">
        <v>42</v>
      </c>
    </row>
    <row r="46" spans="1:1" x14ac:dyDescent="0.2">
      <c r="A46">
        <v>43</v>
      </c>
    </row>
    <row r="47" spans="1:1" x14ac:dyDescent="0.2">
      <c r="A47">
        <v>44</v>
      </c>
    </row>
    <row r="48" spans="1:1" x14ac:dyDescent="0.2">
      <c r="A48">
        <v>45</v>
      </c>
    </row>
    <row r="49" spans="1:1" x14ac:dyDescent="0.2">
      <c r="A49">
        <v>46</v>
      </c>
    </row>
    <row r="50" spans="1:1" x14ac:dyDescent="0.2">
      <c r="A50">
        <v>47</v>
      </c>
    </row>
    <row r="51" spans="1:1" x14ac:dyDescent="0.2">
      <c r="A51">
        <v>48</v>
      </c>
    </row>
    <row r="52" spans="1:1" x14ac:dyDescent="0.2">
      <c r="A52">
        <v>49</v>
      </c>
    </row>
    <row r="53" spans="1:1" x14ac:dyDescent="0.2">
      <c r="A53">
        <v>50</v>
      </c>
    </row>
    <row r="54" spans="1:1" x14ac:dyDescent="0.2">
      <c r="A54">
        <v>51</v>
      </c>
    </row>
    <row r="55" spans="1:1" x14ac:dyDescent="0.2">
      <c r="A55">
        <v>52</v>
      </c>
    </row>
    <row r="56" spans="1:1" x14ac:dyDescent="0.2">
      <c r="A56">
        <v>53</v>
      </c>
    </row>
    <row r="57" spans="1:1" x14ac:dyDescent="0.2">
      <c r="A57">
        <v>54</v>
      </c>
    </row>
    <row r="58" spans="1:1" x14ac:dyDescent="0.2">
      <c r="A58">
        <v>55</v>
      </c>
    </row>
    <row r="59" spans="1:1" x14ac:dyDescent="0.2">
      <c r="A59">
        <v>56</v>
      </c>
    </row>
    <row r="60" spans="1:1" x14ac:dyDescent="0.2">
      <c r="A60">
        <v>57</v>
      </c>
    </row>
    <row r="61" spans="1:1" x14ac:dyDescent="0.2">
      <c r="A61">
        <v>58</v>
      </c>
    </row>
    <row r="62" spans="1:1" x14ac:dyDescent="0.2">
      <c r="A62">
        <v>59</v>
      </c>
    </row>
    <row r="63" spans="1:1" x14ac:dyDescent="0.2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45"/>
  <sheetViews>
    <sheetView topLeftCell="A4" zoomScale="66" zoomScaleNormal="66" workbookViewId="0">
      <selection activeCell="B12" sqref="B12"/>
    </sheetView>
  </sheetViews>
  <sheetFormatPr baseColWidth="10" defaultRowHeight="12.75" x14ac:dyDescent="0.2"/>
  <cols>
    <col min="1" max="1" width="11.5703125" bestFit="1" customWidth="1"/>
    <col min="2" max="2" width="40.5703125" bestFit="1" customWidth="1"/>
    <col min="3" max="3" width="11.5703125" bestFit="1" customWidth="1"/>
    <col min="5" max="5" width="12.7109375" hidden="1" customWidth="1"/>
    <col min="6" max="6" width="0" hidden="1" customWidth="1"/>
    <col min="7" max="7" width="11.5703125" hidden="1" customWidth="1"/>
    <col min="8" max="8" width="11.5703125" bestFit="1" customWidth="1"/>
    <col min="9" max="9" width="14" customWidth="1"/>
    <col min="10" max="10" width="15.5703125" customWidth="1"/>
    <col min="11" max="11" width="17.42578125" customWidth="1"/>
    <col min="12" max="12" width="14.7109375" customWidth="1"/>
    <col min="13" max="13" width="17.42578125" customWidth="1"/>
    <col min="14" max="14" width="16.42578125" customWidth="1"/>
    <col min="15" max="15" width="18.28515625" customWidth="1"/>
    <col min="16" max="16" width="15" customWidth="1"/>
    <col min="17" max="17" width="20.5703125" customWidth="1"/>
    <col min="18" max="18" width="11.5703125" hidden="1" customWidth="1"/>
    <col min="19" max="19" width="14.5703125" customWidth="1"/>
    <col min="20" max="20" width="14.85546875" customWidth="1"/>
    <col min="21" max="21" width="14.5703125" customWidth="1"/>
    <col min="22" max="22" width="14.140625" customWidth="1"/>
    <col min="23" max="23" width="14" customWidth="1"/>
    <col min="24" max="24" width="13" customWidth="1"/>
    <col min="25" max="25" width="13.85546875" customWidth="1"/>
    <col min="26" max="26" width="14.28515625" customWidth="1"/>
    <col min="27" max="27" width="14.85546875" customWidth="1"/>
    <col min="28" max="28" width="13.85546875" customWidth="1"/>
    <col min="29" max="29" width="17.7109375" customWidth="1"/>
    <col min="30" max="30" width="18.42578125" customWidth="1"/>
    <col min="31" max="31" width="15.42578125" customWidth="1"/>
    <col min="32" max="32" width="14.85546875" customWidth="1"/>
    <col min="33" max="33" width="18.5703125" hidden="1" customWidth="1"/>
    <col min="34" max="34" width="15.28515625" hidden="1" customWidth="1"/>
    <col min="35" max="35" width="15.28515625" customWidth="1"/>
    <col min="36" max="36" width="15.7109375" customWidth="1"/>
    <col min="37" max="37" width="14.7109375" customWidth="1"/>
    <col min="38" max="38" width="17.28515625" customWidth="1"/>
    <col min="39" max="39" width="14" customWidth="1"/>
    <col min="40" max="40" width="15" customWidth="1"/>
    <col min="41" max="41" width="15.5703125" customWidth="1"/>
  </cols>
  <sheetData>
    <row r="1" spans="1:43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8"/>
      <c r="AD1" s="13"/>
      <c r="AE1" s="13"/>
      <c r="AF1" s="13"/>
      <c r="AG1" s="13"/>
      <c r="AH1" s="13"/>
      <c r="AI1" s="608"/>
      <c r="AJ1" s="13"/>
      <c r="AK1" s="13"/>
      <c r="AL1" s="13"/>
      <c r="AM1" s="13"/>
      <c r="AN1" s="13"/>
      <c r="AO1" s="13"/>
      <c r="AP1" s="13"/>
      <c r="AQ1" s="13"/>
    </row>
    <row r="2" spans="1:43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8"/>
      <c r="AD2" s="13"/>
      <c r="AE2" s="13"/>
      <c r="AF2" s="13"/>
      <c r="AG2" s="13"/>
      <c r="AH2" s="13"/>
      <c r="AI2" s="608"/>
      <c r="AJ2" s="13"/>
      <c r="AK2" s="13"/>
      <c r="AL2" s="13"/>
      <c r="AM2" s="13"/>
      <c r="AN2" s="13"/>
      <c r="AO2" s="13"/>
      <c r="AP2" s="13"/>
      <c r="AQ2" s="13"/>
    </row>
    <row r="3" spans="1:43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702" t="s">
        <v>82</v>
      </c>
      <c r="L3" s="702"/>
      <c r="M3" s="702"/>
      <c r="N3" s="702"/>
      <c r="O3" s="702"/>
      <c r="P3" s="702"/>
      <c r="Q3" s="702"/>
      <c r="R3" s="702"/>
      <c r="S3" s="702"/>
      <c r="T3" s="702"/>
      <c r="U3" s="702"/>
      <c r="V3" s="702"/>
      <c r="W3" s="702"/>
      <c r="X3" s="702"/>
      <c r="Y3" s="702"/>
      <c r="Z3" s="702"/>
      <c r="AA3" s="702"/>
      <c r="AB3" s="13"/>
      <c r="AC3" s="608"/>
      <c r="AD3" s="13"/>
      <c r="AE3" s="13"/>
      <c r="AF3" s="13"/>
      <c r="AG3" s="13"/>
      <c r="AH3" s="13"/>
      <c r="AI3" s="608"/>
      <c r="AJ3" s="13"/>
      <c r="AK3" s="13"/>
      <c r="AL3" s="13"/>
      <c r="AM3" s="13"/>
      <c r="AN3" s="13"/>
      <c r="AO3" s="13"/>
      <c r="AP3" s="13"/>
      <c r="AQ3" s="13"/>
    </row>
    <row r="4" spans="1:43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13"/>
      <c r="AC4" s="608"/>
      <c r="AD4" s="13"/>
      <c r="AE4" s="13"/>
      <c r="AF4" s="13"/>
      <c r="AG4" s="13"/>
      <c r="AH4" s="13"/>
      <c r="AI4" s="608"/>
      <c r="AJ4" s="13"/>
      <c r="AK4" s="13"/>
      <c r="AL4" s="13"/>
      <c r="AM4" s="13"/>
      <c r="AN4" s="13"/>
      <c r="AO4" s="13"/>
      <c r="AP4" s="13"/>
      <c r="AQ4" s="13"/>
    </row>
    <row r="5" spans="1:43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13"/>
      <c r="AC5" s="608"/>
      <c r="AD5" s="13"/>
      <c r="AE5" s="13"/>
      <c r="AF5" s="13"/>
      <c r="AG5" s="13"/>
      <c r="AH5" s="13"/>
      <c r="AI5" s="608"/>
      <c r="AJ5" s="13"/>
      <c r="AK5" s="13"/>
      <c r="AL5" s="13"/>
      <c r="AM5" s="13"/>
      <c r="AN5" s="13"/>
      <c r="AO5" s="13"/>
      <c r="AP5" s="13"/>
      <c r="AQ5" s="13"/>
    </row>
    <row r="6" spans="1:43" s="1" customFormat="1" ht="27.75" x14ac:dyDescent="0.4">
      <c r="A6" s="703" t="s">
        <v>197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  <c r="AK6" s="703"/>
      <c r="AL6" s="13"/>
      <c r="AM6" s="13"/>
      <c r="AN6" s="13"/>
      <c r="AO6" s="13"/>
      <c r="AP6" s="13"/>
      <c r="AQ6" s="13"/>
    </row>
    <row r="7" spans="1:43" s="1" customFormat="1" ht="18.75" thickBot="1" x14ac:dyDescent="0.3">
      <c r="A7" s="704" t="s">
        <v>83</v>
      </c>
      <c r="B7" s="705"/>
      <c r="C7" s="705"/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5"/>
      <c r="Q7" s="705"/>
      <c r="R7" s="705"/>
      <c r="S7" s="705"/>
      <c r="T7" s="705"/>
      <c r="U7" s="705"/>
      <c r="V7" s="705"/>
      <c r="W7" s="705"/>
      <c r="X7" s="705"/>
      <c r="Y7" s="705"/>
      <c r="Z7" s="705"/>
      <c r="AA7" s="705"/>
      <c r="AB7" s="705"/>
      <c r="AC7" s="705"/>
      <c r="AD7" s="705"/>
      <c r="AE7" s="705"/>
      <c r="AF7" s="705"/>
      <c r="AG7" s="705"/>
      <c r="AH7" s="705"/>
      <c r="AI7" s="705"/>
      <c r="AJ7" s="705"/>
      <c r="AK7" s="705"/>
      <c r="AL7" s="13"/>
      <c r="AM7" s="13"/>
      <c r="AN7" s="13"/>
      <c r="AO7" s="13"/>
      <c r="AP7" s="13"/>
      <c r="AQ7" s="13"/>
    </row>
    <row r="8" spans="1:43" ht="21" thickBot="1" x14ac:dyDescent="0.35">
      <c r="A8" s="94" t="s">
        <v>128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732" t="s">
        <v>128</v>
      </c>
      <c r="AF8" s="706"/>
      <c r="AG8" s="706"/>
      <c r="AH8" s="706"/>
      <c r="AI8" s="706"/>
      <c r="AJ8" s="706"/>
      <c r="AK8" s="706"/>
      <c r="AM8" s="566">
        <v>0.23499999999999999</v>
      </c>
    </row>
    <row r="9" spans="1:43" s="2" customFormat="1" ht="26.25" customHeight="1" thickBot="1" x14ac:dyDescent="0.25">
      <c r="A9" s="728" t="s">
        <v>1</v>
      </c>
      <c r="B9" s="728" t="s">
        <v>0</v>
      </c>
      <c r="C9" s="679" t="s">
        <v>77</v>
      </c>
      <c r="D9" s="679" t="s">
        <v>119</v>
      </c>
      <c r="E9" s="679" t="s">
        <v>112</v>
      </c>
      <c r="F9" s="679" t="s">
        <v>113</v>
      </c>
      <c r="G9" s="679" t="s">
        <v>102</v>
      </c>
      <c r="H9" s="679" t="s">
        <v>79</v>
      </c>
      <c r="I9" s="658" t="s">
        <v>147</v>
      </c>
      <c r="J9" s="684" t="s">
        <v>146</v>
      </c>
      <c r="K9" s="684" t="s">
        <v>121</v>
      </c>
      <c r="L9" s="684" t="s">
        <v>145</v>
      </c>
      <c r="M9" s="684" t="s">
        <v>146</v>
      </c>
      <c r="N9" s="658" t="s">
        <v>85</v>
      </c>
      <c r="O9" s="658" t="s">
        <v>120</v>
      </c>
      <c r="P9" s="684" t="s">
        <v>86</v>
      </c>
      <c r="Q9" s="658" t="s">
        <v>101</v>
      </c>
      <c r="R9" s="682" t="s">
        <v>84</v>
      </c>
      <c r="S9" s="658" t="s">
        <v>209</v>
      </c>
      <c r="T9" s="658" t="s">
        <v>69</v>
      </c>
      <c r="U9" s="717" t="s">
        <v>59</v>
      </c>
      <c r="V9" s="718"/>
      <c r="W9" s="718"/>
      <c r="X9" s="718"/>
      <c r="Y9" s="718"/>
      <c r="Z9" s="658" t="s">
        <v>68</v>
      </c>
      <c r="AA9" s="658" t="s">
        <v>89</v>
      </c>
      <c r="AB9" s="658" t="s">
        <v>88</v>
      </c>
      <c r="AC9" s="658" t="s">
        <v>208</v>
      </c>
      <c r="AD9" s="658" t="s">
        <v>87</v>
      </c>
      <c r="AE9" s="658" t="s">
        <v>91</v>
      </c>
      <c r="AF9" s="658" t="s">
        <v>90</v>
      </c>
      <c r="AG9" s="658" t="s">
        <v>173</v>
      </c>
      <c r="AH9" s="658" t="s">
        <v>190</v>
      </c>
      <c r="AI9" s="658" t="s">
        <v>196</v>
      </c>
      <c r="AJ9" s="696" t="s">
        <v>174</v>
      </c>
      <c r="AK9" s="658" t="s">
        <v>92</v>
      </c>
      <c r="AL9" s="658" t="s">
        <v>186</v>
      </c>
      <c r="AM9" s="682" t="s">
        <v>68</v>
      </c>
      <c r="AN9" s="658" t="s">
        <v>188</v>
      </c>
      <c r="AO9" s="658" t="s">
        <v>189</v>
      </c>
      <c r="AP9" s="17"/>
      <c r="AQ9" s="17"/>
    </row>
    <row r="10" spans="1:43" s="2" customFormat="1" ht="87.75" customHeight="1" thickBot="1" x14ac:dyDescent="0.25">
      <c r="A10" s="729"/>
      <c r="B10" s="729"/>
      <c r="C10" s="679"/>
      <c r="D10" s="679"/>
      <c r="E10" s="679"/>
      <c r="F10" s="679"/>
      <c r="G10" s="679"/>
      <c r="H10" s="679"/>
      <c r="I10" s="679"/>
      <c r="J10" s="685"/>
      <c r="K10" s="685"/>
      <c r="L10" s="685"/>
      <c r="M10" s="685"/>
      <c r="N10" s="679"/>
      <c r="O10" s="679"/>
      <c r="P10" s="685"/>
      <c r="Q10" s="679"/>
      <c r="R10" s="683"/>
      <c r="S10" s="679"/>
      <c r="T10" s="679"/>
      <c r="U10" s="9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679"/>
      <c r="AA10" s="659"/>
      <c r="AB10" s="659"/>
      <c r="AC10" s="659"/>
      <c r="AD10" s="679"/>
      <c r="AE10" s="659"/>
      <c r="AF10" s="659"/>
      <c r="AG10" s="679"/>
      <c r="AH10" s="679"/>
      <c r="AI10" s="679"/>
      <c r="AJ10" s="679"/>
      <c r="AK10" s="679"/>
      <c r="AL10" s="679"/>
      <c r="AM10" s="683"/>
      <c r="AN10" s="679"/>
      <c r="AO10" s="679"/>
      <c r="AP10" s="17"/>
      <c r="AQ10" s="17"/>
    </row>
    <row r="11" spans="1:43" s="1" customFormat="1" ht="21.75" customHeight="1" x14ac:dyDescent="0.2">
      <c r="A11" s="365">
        <v>585</v>
      </c>
      <c r="B11" s="406" t="s">
        <v>5</v>
      </c>
      <c r="C11" s="337">
        <v>0</v>
      </c>
      <c r="D11" s="337"/>
      <c r="E11" s="337"/>
      <c r="F11" s="337"/>
      <c r="G11" s="407">
        <v>1783</v>
      </c>
      <c r="H11" s="337">
        <f t="shared" ref="H11:H21" si="0">SUM(G11:G11)</f>
        <v>1783</v>
      </c>
      <c r="I11" s="337"/>
      <c r="J11" s="337"/>
      <c r="K11" s="342">
        <f>H11*'DATOS REFERENCIALES'!$C$4</f>
        <v>17109.311400000002</v>
      </c>
      <c r="L11" s="342"/>
      <c r="M11" s="342"/>
      <c r="N11" s="344">
        <f>LOOKUP(C11,'TABLA ANTIG.'!$A$4:$A$39,'TABLA ANTIG.'!$B$4:$B$39)*(K11)</f>
        <v>0</v>
      </c>
      <c r="O11" s="344">
        <f t="shared" ref="O11:O21" si="1">K11*0.1</f>
        <v>1710.9311400000004</v>
      </c>
      <c r="P11" s="342">
        <f>'DATOS REFERENCIALES'!$C$8</f>
        <v>6382</v>
      </c>
      <c r="Q11" s="344">
        <f>LOOKUP(C11,'TABLA ANTIG.'!$A$4:$A$39,'TABLA ANTIG.'!$B$4:$B$39)*(P11)</f>
        <v>0</v>
      </c>
      <c r="R11" s="348">
        <v>0</v>
      </c>
      <c r="S11" s="344">
        <f>IF(C11&gt;11,IF(H11&gt;1134,'DATOS REFERENCIALES'!$C$18,'DATOS REFERENCIALES'!$C$18/1135*H11),0)</f>
        <v>0</v>
      </c>
      <c r="T11" s="344">
        <f>K11+N11+O11+P11+Q11+R11+S11</f>
        <v>25202.242540000003</v>
      </c>
      <c r="U11" s="344">
        <f t="shared" ref="U11:U21" si="2">$T11*11%</f>
        <v>2772.2466794000002</v>
      </c>
      <c r="V11" s="344">
        <f t="shared" ref="V11:W21" si="3">$T11*3%</f>
        <v>756.06727620000004</v>
      </c>
      <c r="W11" s="344">
        <f t="shared" si="3"/>
        <v>756.06727620000004</v>
      </c>
      <c r="X11" s="344">
        <f t="shared" ref="X11:X21" si="4">$T11*2%</f>
        <v>504.04485080000006</v>
      </c>
      <c r="Y11" s="344">
        <f t="shared" ref="Y11:Y21" si="5">$T11*4.5%</f>
        <v>1134.1009143000001</v>
      </c>
      <c r="Z11" s="344">
        <f t="shared" ref="Z11:Z21" si="6">SUM(U11:Y11)</f>
        <v>5922.5269969000001</v>
      </c>
      <c r="AA11" s="344">
        <f t="shared" ref="AA11:AA21" si="7">T11-Z11</f>
        <v>19279.715543100003</v>
      </c>
      <c r="AB11" s="347">
        <f>'DATOS REFERENCIALES'!$C$10</f>
        <v>2270</v>
      </c>
      <c r="AC11" s="347">
        <f>IF(C11&lt;12,IF(H11&gt;1134,'DATOS REFERENCIALES'!$C$17,'DATOS REFERENCIALES'!$C$17/1135*H11),0)</f>
        <v>2584</v>
      </c>
      <c r="AD11" s="42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4404.2844568999972</v>
      </c>
      <c r="AE11" s="348">
        <f t="shared" ref="AE11:AE21" si="8">SUM(AA11:AD11)</f>
        <v>28538</v>
      </c>
      <c r="AF11" s="349">
        <f>'DATOS REFERENCIALES'!$C$13</f>
        <v>1210</v>
      </c>
      <c r="AG11" s="370"/>
      <c r="AH11" s="343" t="e">
        <f>IF($H11&gt;1134,'DATOS REFERENCIALES'!#REF!,'DATOS REFERENCIALES'!#REF!/1135*$H11)</f>
        <v>#REF!</v>
      </c>
      <c r="AI11" s="344">
        <f>+AF11</f>
        <v>1210</v>
      </c>
      <c r="AJ11" s="343">
        <f>'DATOS REFERENCIALES'!$C$12</f>
        <v>210</v>
      </c>
      <c r="AK11" s="676">
        <f>+AE11+AE12+AF11+AI11+AJ11</f>
        <v>33831.602116021</v>
      </c>
      <c r="AL11" s="660">
        <f>'DATOS REFERENCIALES'!C16</f>
        <v>2022.3050000000001</v>
      </c>
      <c r="AM11" s="676">
        <f>AL11*$AM$8</f>
        <v>475.24167499999999</v>
      </c>
      <c r="AN11" s="676">
        <f>AL11-AM11</f>
        <v>1547.0633250000001</v>
      </c>
      <c r="AO11" s="674">
        <f>AK11+AN11</f>
        <v>35378.665441021003</v>
      </c>
      <c r="AP11" s="17"/>
      <c r="AQ11" s="17"/>
    </row>
    <row r="12" spans="1:43" s="1" customFormat="1" ht="22.5" customHeight="1" thickBot="1" x14ac:dyDescent="0.25">
      <c r="A12" s="371">
        <v>585</v>
      </c>
      <c r="B12" s="408" t="s">
        <v>5</v>
      </c>
      <c r="C12" s="507">
        <f>IF(C11&gt;0,C11,0)</f>
        <v>0</v>
      </c>
      <c r="D12" s="352"/>
      <c r="E12" s="352"/>
      <c r="F12" s="352"/>
      <c r="G12" s="409"/>
      <c r="H12" s="352"/>
      <c r="I12" s="614">
        <f>133.73/'DATOS REFERENCIALES'!$I$4*'DATOS REFERENCIALES'!$J$4</f>
        <v>222.88333333333333</v>
      </c>
      <c r="J12" s="591" t="s">
        <v>149</v>
      </c>
      <c r="K12" s="357"/>
      <c r="L12" s="357">
        <f>I12*'DATOS REFERENCIALES'!$C$4</f>
        <v>2138.7438900000002</v>
      </c>
      <c r="M12" s="357">
        <f>IF(J12='DATOS REFERENCIALES'!$C$31,K11*'DATOS REFERENCIALES'!$D$31,IF(J12='DATOS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REFERENCIALES'!$D$37*K11),IF(J12='DATOS REFERENCIALES'!$C$38,('DATOS REFERENCIALES'!$D$38*K11),0))))))))</f>
        <v>1026.5586840000001</v>
      </c>
      <c r="N12" s="359">
        <f>LOOKUP(C12,'TABLA ANTIG.'!$A$4:$A$39,'TABLA ANTIG.'!$B$4:$B$39)*(L12+M12)</f>
        <v>0</v>
      </c>
      <c r="O12" s="359">
        <f>(L12+M12)*0.1</f>
        <v>316.53025740000004</v>
      </c>
      <c r="P12" s="357"/>
      <c r="Q12" s="359"/>
      <c r="R12" s="358"/>
      <c r="S12" s="359"/>
      <c r="T12" s="359">
        <f>L12+M12+N12+O12+P12+Q12+R12</f>
        <v>3481.8328314000005</v>
      </c>
      <c r="U12" s="362">
        <f t="shared" si="2"/>
        <v>383.00161145400006</v>
      </c>
      <c r="V12" s="359">
        <f t="shared" si="3"/>
        <v>104.45498494200001</v>
      </c>
      <c r="W12" s="362">
        <f t="shared" si="3"/>
        <v>104.45498494200001</v>
      </c>
      <c r="X12" s="359">
        <f>$T12*2%</f>
        <v>69.636656628000011</v>
      </c>
      <c r="Y12" s="359">
        <f t="shared" si="5"/>
        <v>156.68247741300002</v>
      </c>
      <c r="Z12" s="359">
        <f t="shared" si="6"/>
        <v>818.23071537900012</v>
      </c>
      <c r="AA12" s="363">
        <f t="shared" si="7"/>
        <v>2663.6021160210003</v>
      </c>
      <c r="AB12" s="359"/>
      <c r="AC12" s="362"/>
      <c r="AD12" s="359"/>
      <c r="AE12" s="358">
        <f t="shared" si="8"/>
        <v>2663.6021160210003</v>
      </c>
      <c r="AF12" s="364"/>
      <c r="AG12" s="376"/>
      <c r="AH12" s="358"/>
      <c r="AI12" s="359"/>
      <c r="AJ12" s="363"/>
      <c r="AK12" s="677"/>
      <c r="AL12" s="661"/>
      <c r="AM12" s="677"/>
      <c r="AN12" s="677"/>
      <c r="AO12" s="675"/>
      <c r="AP12" s="17"/>
      <c r="AQ12" s="17"/>
    </row>
    <row r="13" spans="1:43" s="1" customFormat="1" ht="24" customHeight="1" x14ac:dyDescent="0.2">
      <c r="A13" s="395">
        <v>840</v>
      </c>
      <c r="B13" s="275" t="s">
        <v>3</v>
      </c>
      <c r="C13" s="276">
        <v>0</v>
      </c>
      <c r="D13" s="276"/>
      <c r="E13" s="276"/>
      <c r="F13" s="276"/>
      <c r="G13" s="277">
        <v>1545</v>
      </c>
      <c r="H13" s="276">
        <f t="shared" si="0"/>
        <v>1545</v>
      </c>
      <c r="I13" s="615"/>
      <c r="J13" s="276"/>
      <c r="K13" s="278">
        <f>H13*'DATOS REFERENCIALES'!$C$4</f>
        <v>14825.511</v>
      </c>
      <c r="L13" s="278"/>
      <c r="M13" s="278"/>
      <c r="N13" s="280">
        <f>LOOKUP(C13,'TABLA ANTIG.'!$A$4:$A$39,'TABLA ANTIG.'!$B$4:$B$39)*(K13)</f>
        <v>0</v>
      </c>
      <c r="O13" s="280">
        <f t="shared" si="1"/>
        <v>1482.5511000000001</v>
      </c>
      <c r="P13" s="278">
        <f>'DATOS REFERENCIALES'!$C$8</f>
        <v>6382</v>
      </c>
      <c r="Q13" s="280">
        <f>LOOKUP(C13,'TABLA ANTIG.'!$A$4:$A$39,'TABLA ANTIG.'!$B$4:$B$39)*(P13)</f>
        <v>0</v>
      </c>
      <c r="R13" s="414">
        <v>0</v>
      </c>
      <c r="S13" s="280">
        <f>IF(C13&gt;11,IF(H13&gt;1134,'DATOS REFERENCIALES'!$C$18,'DATOS REFERENCIALES'!$C$18/1135*H13),0)</f>
        <v>0</v>
      </c>
      <c r="T13" s="415">
        <f>K13+N13+O13+P13+Q13+R13+S13</f>
        <v>22690.062100000003</v>
      </c>
      <c r="U13" s="415">
        <f t="shared" si="2"/>
        <v>2495.9068310000002</v>
      </c>
      <c r="V13" s="415">
        <f t="shared" si="3"/>
        <v>680.701863</v>
      </c>
      <c r="W13" s="415">
        <f t="shared" si="3"/>
        <v>680.701863</v>
      </c>
      <c r="X13" s="415">
        <f t="shared" si="4"/>
        <v>453.80124200000006</v>
      </c>
      <c r="Y13" s="415">
        <f t="shared" si="5"/>
        <v>1021.0527945000001</v>
      </c>
      <c r="Z13" s="415">
        <f t="shared" si="6"/>
        <v>5332.1645935000015</v>
      </c>
      <c r="AA13" s="415">
        <f t="shared" si="7"/>
        <v>17357.897506500001</v>
      </c>
      <c r="AB13" s="416">
        <f>'DATOS REFERENCIALES'!$C$10</f>
        <v>2270</v>
      </c>
      <c r="AC13" s="283">
        <f>IF(C13&lt;12,IF(H13&gt;1134,'DATOS REFERENCIALES'!$C$17,'DATOS REFERENCIALES'!$C$17/1135*H13),0)</f>
        <v>2584</v>
      </c>
      <c r="AD13" s="415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6326.102493499995</v>
      </c>
      <c r="AE13" s="414">
        <f t="shared" si="8"/>
        <v>28537.999999999996</v>
      </c>
      <c r="AF13" s="528">
        <f>'DATOS REFERENCIALES'!$C$13</f>
        <v>1210</v>
      </c>
      <c r="AG13" s="399"/>
      <c r="AH13" s="282" t="e">
        <f>IF($H13&gt;1134,'DATOS REFERENCIALES'!#REF!,'DATOS REFERENCIALES'!#REF!/1135*$H13)</f>
        <v>#REF!</v>
      </c>
      <c r="AI13" s="280">
        <f t="shared" ref="AI13:AI21" si="9">+AF13</f>
        <v>1210</v>
      </c>
      <c r="AJ13" s="416">
        <f>'DATOS REFERENCIALES'!$C$12</f>
        <v>210</v>
      </c>
      <c r="AK13" s="664">
        <f>+AE13+AE14+AF13+AI13+AJ13</f>
        <v>32727.525728859997</v>
      </c>
      <c r="AL13" s="662">
        <f>'DATOS REFERENCIALES'!C16</f>
        <v>2022.3050000000001</v>
      </c>
      <c r="AM13" s="664">
        <f t="shared" ref="AM13:AM21" si="10">AL13*$AM$8</f>
        <v>475.24167499999999</v>
      </c>
      <c r="AN13" s="664">
        <f t="shared" ref="AN13:AN21" si="11">AL13-AM13</f>
        <v>1547.0633250000001</v>
      </c>
      <c r="AO13" s="666">
        <f>AK13+AN13</f>
        <v>34274.58905386</v>
      </c>
      <c r="AP13" s="17"/>
      <c r="AQ13" s="17"/>
    </row>
    <row r="14" spans="1:43" s="1" customFormat="1" ht="28.5" customHeight="1" thickBot="1" x14ac:dyDescent="0.25">
      <c r="A14" s="400">
        <v>840</v>
      </c>
      <c r="B14" s="417" t="s">
        <v>3</v>
      </c>
      <c r="C14" s="288">
        <f>IF(C13&gt;0,C13,0)</f>
        <v>0</v>
      </c>
      <c r="D14" s="328"/>
      <c r="E14" s="328"/>
      <c r="F14" s="328"/>
      <c r="G14" s="418"/>
      <c r="H14" s="328"/>
      <c r="I14" s="621">
        <f>115.88/'DATOS REFERENCIALES'!$I$4*'DATOS REFERENCIALES'!$J$4</f>
        <v>193.13333333333333</v>
      </c>
      <c r="J14" s="419"/>
      <c r="K14" s="332"/>
      <c r="L14" s="332">
        <f>I14*'DATOS REFERENCIALES'!$C$4</f>
        <v>1853.26884</v>
      </c>
      <c r="M14" s="332"/>
      <c r="N14" s="299">
        <f>LOOKUP(C14,'TABLA ANTIG.'!$A$4:$A$39,'TABLA ANTIG.'!$B$4:$B$39)*(L14+M14)</f>
        <v>0</v>
      </c>
      <c r="O14" s="299">
        <f>(L14+M14)*0.1</f>
        <v>185.32688400000001</v>
      </c>
      <c r="P14" s="332"/>
      <c r="Q14" s="299"/>
      <c r="R14" s="297"/>
      <c r="S14" s="333"/>
      <c r="T14" s="299">
        <f>L14+M14+N14+O14+P14+Q14+R14</f>
        <v>2038.595724</v>
      </c>
      <c r="U14" s="333">
        <f t="shared" si="2"/>
        <v>224.24552964</v>
      </c>
      <c r="V14" s="299">
        <f t="shared" si="3"/>
        <v>61.157871719999996</v>
      </c>
      <c r="W14" s="333">
        <f t="shared" si="3"/>
        <v>61.157871719999996</v>
      </c>
      <c r="X14" s="299">
        <f>$T14*2%</f>
        <v>40.77191448</v>
      </c>
      <c r="Y14" s="299">
        <f t="shared" si="5"/>
        <v>91.736807580000004</v>
      </c>
      <c r="Z14" s="299">
        <f t="shared" si="6"/>
        <v>479.06999514</v>
      </c>
      <c r="AA14" s="334">
        <f t="shared" si="7"/>
        <v>1559.5257288600001</v>
      </c>
      <c r="AB14" s="299"/>
      <c r="AC14" s="540"/>
      <c r="AD14" s="299"/>
      <c r="AE14" s="297">
        <f t="shared" si="8"/>
        <v>1559.5257288600001</v>
      </c>
      <c r="AF14" s="526"/>
      <c r="AG14" s="405"/>
      <c r="AH14" s="297"/>
      <c r="AI14" s="299"/>
      <c r="AJ14" s="299"/>
      <c r="AK14" s="665"/>
      <c r="AL14" s="663"/>
      <c r="AM14" s="665"/>
      <c r="AN14" s="665"/>
      <c r="AO14" s="667"/>
      <c r="AP14" s="17"/>
      <c r="AQ14" s="17"/>
    </row>
    <row r="15" spans="1:43" s="1" customFormat="1" ht="22.5" customHeight="1" x14ac:dyDescent="0.2">
      <c r="A15" s="377">
        <v>846</v>
      </c>
      <c r="B15" s="301" t="s">
        <v>4</v>
      </c>
      <c r="C15" s="302">
        <v>0</v>
      </c>
      <c r="D15" s="302"/>
      <c r="E15" s="302"/>
      <c r="F15" s="302"/>
      <c r="G15" s="303">
        <v>1307</v>
      </c>
      <c r="H15" s="302">
        <f t="shared" si="0"/>
        <v>1307</v>
      </c>
      <c r="I15" s="616"/>
      <c r="J15" s="302"/>
      <c r="K15" s="304">
        <f>H15*'DATOS REFERENCIALES'!$C$4</f>
        <v>12541.7106</v>
      </c>
      <c r="L15" s="304"/>
      <c r="M15" s="304"/>
      <c r="N15" s="306">
        <f>LOOKUP(C15,'TABLA ANTIG.'!$A$4:$A$39,'TABLA ANTIG.'!$B$4:$B$39)*(K15)</f>
        <v>0</v>
      </c>
      <c r="O15" s="306">
        <f t="shared" si="1"/>
        <v>1254.1710600000001</v>
      </c>
      <c r="P15" s="304">
        <f>'DATOS REFERENCIALES'!$C$8</f>
        <v>6382</v>
      </c>
      <c r="Q15" s="306">
        <f>LOOKUP(C15,'TABLA ANTIG.'!$A$4:$A$39,'TABLA ANTIG.'!$B$4:$B$39)*(P15)</f>
        <v>0</v>
      </c>
      <c r="R15" s="410">
        <v>0</v>
      </c>
      <c r="S15" s="306">
        <f>IF(C15&gt;11,IF(H15&gt;1134,'DATOS REFERENCIALES'!$C$18,'DATOS REFERENCIALES'!$C$18/1135*H15),0)</f>
        <v>0</v>
      </c>
      <c r="T15" s="411">
        <f>K15+N15+O15+P15+Q15+R15+S15</f>
        <v>20177.881659999999</v>
      </c>
      <c r="U15" s="411">
        <f t="shared" si="2"/>
        <v>2219.5669825999998</v>
      </c>
      <c r="V15" s="411">
        <f t="shared" si="3"/>
        <v>605.33644979999997</v>
      </c>
      <c r="W15" s="411">
        <f t="shared" si="3"/>
        <v>605.33644979999997</v>
      </c>
      <c r="X15" s="411">
        <f t="shared" si="4"/>
        <v>403.5576332</v>
      </c>
      <c r="Y15" s="411">
        <f t="shared" si="5"/>
        <v>908.0046746999999</v>
      </c>
      <c r="Z15" s="411">
        <f t="shared" si="6"/>
        <v>4741.8021901000002</v>
      </c>
      <c r="AA15" s="411">
        <f t="shared" si="7"/>
        <v>15436.0794699</v>
      </c>
      <c r="AB15" s="412">
        <f>'DATOS REFERENCIALES'!$C$10</f>
        <v>2270</v>
      </c>
      <c r="AC15" s="308">
        <f>IF(C15&lt;12,IF(H15&gt;1134,'DATOS REFERENCIALES'!$C$17,'DATOS REFERENCIALES'!$C$17/1135*H15),0)</f>
        <v>2584</v>
      </c>
      <c r="AD15" s="411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8247.9205301000038</v>
      </c>
      <c r="AE15" s="410">
        <f t="shared" si="8"/>
        <v>28538.000000000004</v>
      </c>
      <c r="AF15" s="529">
        <f>'DATOS REFERENCIALES'!$C$13</f>
        <v>1210</v>
      </c>
      <c r="AG15" s="383"/>
      <c r="AH15" s="410" t="e">
        <f>IF($H15&gt;1134,'DATOS REFERENCIALES'!#REF!,'DATOS REFERENCIALES'!#REF!/1135*$H15)</f>
        <v>#REF!</v>
      </c>
      <c r="AI15" s="636">
        <f t="shared" si="9"/>
        <v>1210</v>
      </c>
      <c r="AJ15" s="412">
        <f>'DATOS REFERENCIALES'!$C$12</f>
        <v>210</v>
      </c>
      <c r="AK15" s="670">
        <f>+AE15+AE16+AF15+AI15+AJ15</f>
        <v>32487.298474285002</v>
      </c>
      <c r="AL15" s="668">
        <f>'DATOS REFERENCIALES'!C16</f>
        <v>2022.3050000000001</v>
      </c>
      <c r="AM15" s="670">
        <f t="shared" si="10"/>
        <v>475.24167499999999</v>
      </c>
      <c r="AN15" s="670">
        <f t="shared" si="11"/>
        <v>1547.0633250000001</v>
      </c>
      <c r="AO15" s="672">
        <f>AK15+AN15</f>
        <v>34034.361799285005</v>
      </c>
      <c r="AP15" s="17"/>
      <c r="AQ15" s="17"/>
    </row>
    <row r="16" spans="1:43" s="1" customFormat="1" ht="24" customHeight="1" thickBot="1" x14ac:dyDescent="0.25">
      <c r="A16" s="384">
        <v>846</v>
      </c>
      <c r="B16" s="313" t="s">
        <v>4</v>
      </c>
      <c r="C16" s="314">
        <f>IF(C15&gt;0,C15,0)</f>
        <v>0</v>
      </c>
      <c r="D16" s="314"/>
      <c r="E16" s="314"/>
      <c r="F16" s="314"/>
      <c r="G16" s="315"/>
      <c r="H16" s="314"/>
      <c r="I16" s="617">
        <f>98.03/'DATOS REFERENCIALES'!$I$4*'DATOS REFERENCIALES'!$J$4</f>
        <v>163.38333333333333</v>
      </c>
      <c r="J16" s="413"/>
      <c r="K16" s="316"/>
      <c r="L16" s="316">
        <f>I16*'DATOS REFERENCIALES'!$C$4</f>
        <v>1567.7937899999999</v>
      </c>
      <c r="M16" s="316"/>
      <c r="N16" s="320">
        <f>LOOKUP(C16,'TABLA ANTIG.'!$A$4:$A$39,'TABLA ANTIG.'!$B$4:$B$39)*(L16+M16)</f>
        <v>0</v>
      </c>
      <c r="O16" s="320">
        <f>(L16+M16)*0.1</f>
        <v>156.77937900000001</v>
      </c>
      <c r="P16" s="316"/>
      <c r="Q16" s="320"/>
      <c r="R16" s="322"/>
      <c r="S16" s="552"/>
      <c r="T16" s="320">
        <f>L16+M16+N16+O16+P16+Q16+R16</f>
        <v>1724.573169</v>
      </c>
      <c r="U16" s="321">
        <f t="shared" si="2"/>
        <v>189.70304859000001</v>
      </c>
      <c r="V16" s="320">
        <f t="shared" si="3"/>
        <v>51.737195069999999</v>
      </c>
      <c r="W16" s="321">
        <f t="shared" si="3"/>
        <v>51.737195069999999</v>
      </c>
      <c r="X16" s="320">
        <f>$T16*2%</f>
        <v>34.491463379999999</v>
      </c>
      <c r="Y16" s="320">
        <f t="shared" si="5"/>
        <v>77.605792604999991</v>
      </c>
      <c r="Z16" s="320">
        <f t="shared" si="6"/>
        <v>405.27469471499995</v>
      </c>
      <c r="AA16" s="323">
        <f t="shared" si="7"/>
        <v>1319.2984742850001</v>
      </c>
      <c r="AB16" s="320"/>
      <c r="AC16" s="649"/>
      <c r="AD16" s="320"/>
      <c r="AE16" s="322">
        <f t="shared" si="8"/>
        <v>1319.2984742850001</v>
      </c>
      <c r="AF16" s="324"/>
      <c r="AG16" s="420"/>
      <c r="AH16" s="322"/>
      <c r="AI16" s="412"/>
      <c r="AJ16" s="320"/>
      <c r="AK16" s="678"/>
      <c r="AL16" s="681"/>
      <c r="AM16" s="671"/>
      <c r="AN16" s="671"/>
      <c r="AO16" s="680"/>
      <c r="AP16" s="17"/>
      <c r="AQ16" s="17"/>
    </row>
    <row r="17" spans="1:45" s="1" customFormat="1" ht="21.75" customHeight="1" x14ac:dyDescent="0.2">
      <c r="A17" s="218">
        <v>847</v>
      </c>
      <c r="B17" s="161" t="s">
        <v>70</v>
      </c>
      <c r="C17" s="119">
        <v>0</v>
      </c>
      <c r="D17" s="214"/>
      <c r="E17" s="214"/>
      <c r="F17" s="214"/>
      <c r="G17" s="215">
        <v>1120</v>
      </c>
      <c r="H17" s="602">
        <v>1135</v>
      </c>
      <c r="I17" s="623"/>
      <c r="J17" s="189"/>
      <c r="K17" s="105">
        <f>H17*'DATOS REFERENCIALES'!$C$4</f>
        <v>10891.233</v>
      </c>
      <c r="L17" s="105"/>
      <c r="M17" s="105"/>
      <c r="N17" s="106">
        <f>LOOKUP(C17,'TABLA ANTIG.'!$A$4:$A$39,'TABLA ANTIG.'!$B$4:$B$39)*(K17)</f>
        <v>0</v>
      </c>
      <c r="O17" s="113">
        <f t="shared" si="1"/>
        <v>1089.1233</v>
      </c>
      <c r="P17" s="105">
        <f>'DATOS REFERENCIALES'!$C$8</f>
        <v>6382</v>
      </c>
      <c r="Q17" s="106">
        <f>LOOKUP(C17,'TABLA ANTIG.'!$A$4:$A$39,'TABLA ANTIG.'!$B$4:$B$39)*(P17)</f>
        <v>0</v>
      </c>
      <c r="R17" s="27">
        <v>0</v>
      </c>
      <c r="S17" s="543">
        <f>IF(C17&gt;11,IF(H17&gt;1134,'DATOS REFERENCIALES'!$C$18,'DATOS REFERENCIALES'!$C$18/1135*H17),0)</f>
        <v>0</v>
      </c>
      <c r="T17" s="27">
        <f>K17+N17+O17+P17+Q17+R17+S17</f>
        <v>18362.356299999999</v>
      </c>
      <c r="U17" s="27">
        <f t="shared" si="2"/>
        <v>2019.859193</v>
      </c>
      <c r="V17" s="27">
        <f t="shared" si="3"/>
        <v>550.87068899999997</v>
      </c>
      <c r="W17" s="27">
        <f t="shared" si="3"/>
        <v>550.87068899999997</v>
      </c>
      <c r="X17" s="27">
        <f t="shared" si="4"/>
        <v>367.24712599999998</v>
      </c>
      <c r="Y17" s="27">
        <f t="shared" si="5"/>
        <v>826.3060334999999</v>
      </c>
      <c r="Z17" s="27">
        <f t="shared" si="6"/>
        <v>4315.1537305000002</v>
      </c>
      <c r="AA17" s="79">
        <f t="shared" si="7"/>
        <v>14047.202569499999</v>
      </c>
      <c r="AB17" s="147">
        <f>'DATOS REFERENCIALES'!$C$10</f>
        <v>2270</v>
      </c>
      <c r="AC17" s="543">
        <f>IF(C17&lt;12,IF(H17&gt;1134,'DATOS REFERENCIALES'!$C$17,'DATOS REFERENCIALES'!$C$17/1135*H17),0)</f>
        <v>2584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9636.7974304999989</v>
      </c>
      <c r="AE17" s="130">
        <f t="shared" si="8"/>
        <v>28537.999999999996</v>
      </c>
      <c r="AF17" s="91">
        <f>'DATOS REFERENCIALES'!$C$13</f>
        <v>1210</v>
      </c>
      <c r="AG17" s="269"/>
      <c r="AH17" s="151" t="e">
        <f>IF($H17&gt;1134,'DATOS REFERENCIALES'!#REF!,'DATOS REFERENCIALES'!#REF!/1135*$H17)</f>
        <v>#REF!</v>
      </c>
      <c r="AI17" s="543">
        <f t="shared" si="9"/>
        <v>1210</v>
      </c>
      <c r="AJ17" s="151">
        <f>'DATOS REFERENCIALES'!$C$12</f>
        <v>210</v>
      </c>
      <c r="AK17" s="579">
        <f>+AE17+AF17+AI17+AJ17</f>
        <v>31167.999999999996</v>
      </c>
      <c r="AL17" s="576">
        <f>'DATOS REFERENCIALES'!$C$16</f>
        <v>2022.3050000000001</v>
      </c>
      <c r="AM17" s="577">
        <f t="shared" si="10"/>
        <v>475.24167499999999</v>
      </c>
      <c r="AN17" s="577">
        <f t="shared" si="11"/>
        <v>1547.0633250000001</v>
      </c>
      <c r="AO17" s="578">
        <f>AK17+AN17</f>
        <v>32715.063324999996</v>
      </c>
      <c r="AP17" s="17"/>
      <c r="AQ17" s="17"/>
    </row>
    <row r="18" spans="1:45" s="1" customFormat="1" ht="20.25" customHeight="1" x14ac:dyDescent="0.2">
      <c r="A18" s="185">
        <v>848</v>
      </c>
      <c r="B18" s="183" t="s">
        <v>80</v>
      </c>
      <c r="C18" s="23">
        <v>0</v>
      </c>
      <c r="D18" s="30"/>
      <c r="E18" s="30"/>
      <c r="F18" s="30"/>
      <c r="G18" s="55">
        <v>1120</v>
      </c>
      <c r="H18" s="603">
        <v>1135</v>
      </c>
      <c r="I18" s="37"/>
      <c r="J18" s="37"/>
      <c r="K18" s="89">
        <f>H18*'DATOS REFERENCIALES'!$C$4</f>
        <v>10891.233</v>
      </c>
      <c r="L18" s="89"/>
      <c r="M18" s="89"/>
      <c r="N18" s="79">
        <f>LOOKUP(C18,'TABLA ANTIG.'!$A$4:$A$39,'TABLA ANTIG.'!$B$4:$B$39)*(K18)</f>
        <v>0</v>
      </c>
      <c r="O18" s="27">
        <f t="shared" si="1"/>
        <v>1089.1233</v>
      </c>
      <c r="P18" s="89">
        <f>'DATOS REFERENCIALES'!$C$8</f>
        <v>6382</v>
      </c>
      <c r="Q18" s="79">
        <f>LOOKUP(C18,'TABLA ANTIG.'!$A$4:$A$39,'TABLA ANTIG.'!$B$4:$B$39)*(P18)</f>
        <v>0</v>
      </c>
      <c r="R18" s="27">
        <v>0</v>
      </c>
      <c r="S18" s="545">
        <f>IF(C18&gt;11,IF(H18&gt;1134,'DATOS REFERENCIALES'!$C$18,'DATOS REFERENCIALES'!$C$18/1135*H18),0)</f>
        <v>0</v>
      </c>
      <c r="T18" s="27">
        <f>K18+N18+O18+P18+Q18+R18+S18</f>
        <v>18362.356299999999</v>
      </c>
      <c r="U18" s="27">
        <f t="shared" si="2"/>
        <v>2019.859193</v>
      </c>
      <c r="V18" s="27">
        <f t="shared" si="3"/>
        <v>550.87068899999997</v>
      </c>
      <c r="W18" s="27">
        <f t="shared" si="3"/>
        <v>550.87068899999997</v>
      </c>
      <c r="X18" s="27">
        <f t="shared" si="4"/>
        <v>367.24712599999998</v>
      </c>
      <c r="Y18" s="27">
        <f t="shared" si="5"/>
        <v>826.3060334999999</v>
      </c>
      <c r="Z18" s="27">
        <f t="shared" si="6"/>
        <v>4315.1537305000002</v>
      </c>
      <c r="AA18" s="79">
        <f t="shared" si="7"/>
        <v>14047.202569499999</v>
      </c>
      <c r="AB18" s="147">
        <f>'DATOS REFERENCIALES'!$C$10</f>
        <v>2270</v>
      </c>
      <c r="AC18" s="545">
        <f>IF(C18&lt;12,IF(H18&gt;1134,'DATOS REFERENCIALES'!$C$17,'DATOS REFERENCIALES'!$C$17/1135*H18),0)</f>
        <v>2584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9636.7974304999989</v>
      </c>
      <c r="AE18" s="130">
        <f t="shared" si="8"/>
        <v>28537.999999999996</v>
      </c>
      <c r="AF18" s="91">
        <f>'DATOS REFERENCIALES'!$C$13</f>
        <v>1210</v>
      </c>
      <c r="AG18" s="272"/>
      <c r="AH18" s="151" t="e">
        <f>IF($H18&gt;1134,'DATOS REFERENCIALES'!#REF!,'DATOS REFERENCIALES'!#REF!/1135*$H18)</f>
        <v>#REF!</v>
      </c>
      <c r="AI18" s="545">
        <f t="shared" si="9"/>
        <v>1210</v>
      </c>
      <c r="AJ18" s="151">
        <f>'DATOS REFERENCIALES'!$C$12</f>
        <v>210</v>
      </c>
      <c r="AK18" s="147">
        <f>+AE18+AF18+AI18+AJ18</f>
        <v>31167.999999999996</v>
      </c>
      <c r="AL18" s="557">
        <f>'DATOS REFERENCIALES'!$C$16</f>
        <v>2022.3050000000001</v>
      </c>
      <c r="AM18" s="27">
        <f t="shared" si="10"/>
        <v>475.24167499999999</v>
      </c>
      <c r="AN18" s="27">
        <f t="shared" si="11"/>
        <v>1547.0633250000001</v>
      </c>
      <c r="AO18" s="559">
        <f>AK18+AN18</f>
        <v>32715.063324999996</v>
      </c>
      <c r="AP18" s="17"/>
      <c r="AQ18" s="17"/>
    </row>
    <row r="19" spans="1:45" s="1" customFormat="1" ht="21" customHeight="1" x14ac:dyDescent="0.2">
      <c r="A19" s="74">
        <v>875</v>
      </c>
      <c r="B19" s="184" t="s">
        <v>94</v>
      </c>
      <c r="C19" s="23">
        <v>0</v>
      </c>
      <c r="D19" s="30"/>
      <c r="E19" s="30"/>
      <c r="F19" s="30"/>
      <c r="G19" s="55">
        <v>1120</v>
      </c>
      <c r="H19" s="603">
        <v>1135</v>
      </c>
      <c r="I19" s="37"/>
      <c r="J19" s="37"/>
      <c r="K19" s="89">
        <f>H19*'DATOS REFERENCIALES'!$C$4</f>
        <v>10891.233</v>
      </c>
      <c r="L19" s="89"/>
      <c r="M19" s="89"/>
      <c r="N19" s="79">
        <f>LOOKUP(C19,'TABLA ANTIG.'!$A$4:$A$39,'TABLA ANTIG.'!$B$4:$B$39)*(K19)</f>
        <v>0</v>
      </c>
      <c r="O19" s="27">
        <f t="shared" si="1"/>
        <v>1089.1233</v>
      </c>
      <c r="P19" s="89">
        <f>'DATOS REFERENCIALES'!$C$8</f>
        <v>6382</v>
      </c>
      <c r="Q19" s="79">
        <f>LOOKUP(C19,'TABLA ANTIG.'!$A$4:$A$39,'TABLA ANTIG.'!$B$4:$B$39)*(P19)</f>
        <v>0</v>
      </c>
      <c r="R19" s="27">
        <v>0</v>
      </c>
      <c r="S19" s="545">
        <f>IF(C19&gt;11,IF(H19&gt;1134,'DATOS REFERENCIALES'!$C$18,'DATOS REFERENCIALES'!$C$18/1135*H19),0)</f>
        <v>0</v>
      </c>
      <c r="T19" s="27">
        <f>K19+N19+O19+P19+Q19+R19+S19</f>
        <v>18362.356299999999</v>
      </c>
      <c r="U19" s="27">
        <f t="shared" si="2"/>
        <v>2019.859193</v>
      </c>
      <c r="V19" s="27">
        <f t="shared" si="3"/>
        <v>550.87068899999997</v>
      </c>
      <c r="W19" s="27">
        <f t="shared" si="3"/>
        <v>550.87068899999997</v>
      </c>
      <c r="X19" s="27">
        <f t="shared" si="4"/>
        <v>367.24712599999998</v>
      </c>
      <c r="Y19" s="27">
        <f t="shared" si="5"/>
        <v>826.3060334999999</v>
      </c>
      <c r="Z19" s="27">
        <f t="shared" si="6"/>
        <v>4315.1537305000002</v>
      </c>
      <c r="AA19" s="79">
        <f t="shared" si="7"/>
        <v>14047.202569499999</v>
      </c>
      <c r="AB19" s="147">
        <f>'DATOS REFERENCIALES'!$C$10</f>
        <v>2270</v>
      </c>
      <c r="AC19" s="545">
        <f>IF(C19&lt;12,IF(H19&gt;1134,'DATOS REFERENCIALES'!$C$17,'DATOS REFERENCIALES'!$C$17/1135*H19),0)</f>
        <v>2584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9636.7974304999989</v>
      </c>
      <c r="AE19" s="130">
        <f t="shared" si="8"/>
        <v>28537.999999999996</v>
      </c>
      <c r="AF19" s="91">
        <f>'DATOS REFERENCIALES'!$C$13</f>
        <v>1210</v>
      </c>
      <c r="AG19" s="272"/>
      <c r="AH19" s="151" t="e">
        <f>IF($H19&gt;1134,'DATOS REFERENCIALES'!#REF!,'DATOS REFERENCIALES'!#REF!/1135*$H19)</f>
        <v>#REF!</v>
      </c>
      <c r="AI19" s="545">
        <f t="shared" si="9"/>
        <v>1210</v>
      </c>
      <c r="AJ19" s="151">
        <f>'DATOS REFERENCIALES'!$C$12</f>
        <v>210</v>
      </c>
      <c r="AK19" s="147">
        <f>+AE19+AF19+AI19+AJ19</f>
        <v>31167.999999999996</v>
      </c>
      <c r="AL19" s="557">
        <f>'DATOS REFERENCIALES'!$C$16</f>
        <v>2022.3050000000001</v>
      </c>
      <c r="AM19" s="27">
        <f t="shared" si="10"/>
        <v>475.24167499999999</v>
      </c>
      <c r="AN19" s="27">
        <f t="shared" si="11"/>
        <v>1547.0633250000001</v>
      </c>
      <c r="AO19" s="559">
        <f>AK19+AN19</f>
        <v>32715.063324999996</v>
      </c>
      <c r="AP19" s="17"/>
      <c r="AQ19" s="17"/>
    </row>
    <row r="20" spans="1:45" s="1" customFormat="1" ht="21.75" customHeight="1" x14ac:dyDescent="0.2">
      <c r="A20" s="74">
        <v>845</v>
      </c>
      <c r="B20" s="85" t="s">
        <v>7</v>
      </c>
      <c r="C20" s="29">
        <v>0</v>
      </c>
      <c r="D20" s="29"/>
      <c r="E20" s="29"/>
      <c r="F20" s="29"/>
      <c r="G20" s="55">
        <v>1120</v>
      </c>
      <c r="H20" s="603">
        <v>1135</v>
      </c>
      <c r="I20" s="37"/>
      <c r="J20" s="37"/>
      <c r="K20" s="89">
        <f>H20*'DATOS REFERENCIALES'!$C$4</f>
        <v>10891.233</v>
      </c>
      <c r="L20" s="89"/>
      <c r="M20" s="89"/>
      <c r="N20" s="79">
        <f>LOOKUP(C20,'TABLA ANTIG.'!$A$4:$A$39,'TABLA ANTIG.'!$B$4:$B$39)*(K20)</f>
        <v>0</v>
      </c>
      <c r="O20" s="27">
        <f t="shared" si="1"/>
        <v>1089.1233</v>
      </c>
      <c r="P20" s="89">
        <f>'DATOS REFERENCIALES'!$C$8</f>
        <v>6382</v>
      </c>
      <c r="Q20" s="79">
        <f>LOOKUP(C20,'TABLA ANTIG.'!$A$4:$A$39,'TABLA ANTIG.'!$B$4:$B$39)*(P20)</f>
        <v>0</v>
      </c>
      <c r="R20" s="27">
        <v>0</v>
      </c>
      <c r="S20" s="545">
        <f>IF(C20&gt;11,IF(H20&gt;1134,'DATOS REFERENCIALES'!$C$18,'DATOS REFERENCIALES'!$C$18/1135*H20),0)</f>
        <v>0</v>
      </c>
      <c r="T20" s="27">
        <f>K20+N20+O20+P20+Q20+R20+S20</f>
        <v>18362.356299999999</v>
      </c>
      <c r="U20" s="79">
        <f t="shared" si="2"/>
        <v>2019.859193</v>
      </c>
      <c r="V20" s="79">
        <f t="shared" si="3"/>
        <v>550.87068899999997</v>
      </c>
      <c r="W20" s="79">
        <f t="shared" si="3"/>
        <v>550.87068899999997</v>
      </c>
      <c r="X20" s="79">
        <f t="shared" si="4"/>
        <v>367.24712599999998</v>
      </c>
      <c r="Y20" s="79">
        <f t="shared" si="5"/>
        <v>826.3060334999999</v>
      </c>
      <c r="Z20" s="27">
        <f t="shared" si="6"/>
        <v>4315.1537305000002</v>
      </c>
      <c r="AA20" s="79">
        <f t="shared" si="7"/>
        <v>14047.202569499999</v>
      </c>
      <c r="AB20" s="147">
        <f>'DATOS REFERENCIALES'!$C$10</f>
        <v>2270</v>
      </c>
      <c r="AC20" s="545">
        <f>IF(C20&lt;12,IF(H20&gt;1134,'DATOS REFERENCIALES'!$C$17,'DATOS REFERENCIALES'!$C$17/1135*H20),0)</f>
        <v>2584</v>
      </c>
      <c r="AD20" s="7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130">
        <f t="shared" si="8"/>
        <v>28537.999999999996</v>
      </c>
      <c r="AF20" s="91">
        <f>'DATOS REFERENCIALES'!$C$13</f>
        <v>1210</v>
      </c>
      <c r="AG20" s="272"/>
      <c r="AH20" s="151" t="e">
        <f>IF($H20&gt;1134,'DATOS REFERENCIALES'!#REF!,'DATOS REFERENCIALES'!#REF!/1135*$H20)</f>
        <v>#REF!</v>
      </c>
      <c r="AI20" s="545">
        <f t="shared" si="9"/>
        <v>1210</v>
      </c>
      <c r="AJ20" s="151">
        <f>'DATOS REFERENCIALES'!$C$12</f>
        <v>210</v>
      </c>
      <c r="AK20" s="147">
        <f>+AE20+AF20+AI20+AJ20</f>
        <v>31167.999999999996</v>
      </c>
      <c r="AL20" s="557">
        <f>'DATOS REFERENCIALES'!$C$16</f>
        <v>2022.3050000000001</v>
      </c>
      <c r="AM20" s="27">
        <f t="shared" si="10"/>
        <v>475.24167499999999</v>
      </c>
      <c r="AN20" s="27">
        <f t="shared" si="11"/>
        <v>1547.0633250000001</v>
      </c>
      <c r="AO20" s="559">
        <f>AK20+AN20</f>
        <v>32715.063324999996</v>
      </c>
      <c r="AP20" s="17"/>
      <c r="AQ20" s="17"/>
    </row>
    <row r="21" spans="1:45" s="1" customFormat="1" ht="20.25" customHeight="1" thickBot="1" x14ac:dyDescent="0.25">
      <c r="A21" s="75">
        <v>5566</v>
      </c>
      <c r="B21" s="86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0">
        <f>(H21*'DATOS REFERENCIALES'!$C$4)*D21</f>
        <v>537.36480000000006</v>
      </c>
      <c r="L21" s="90"/>
      <c r="M21" s="90"/>
      <c r="N21" s="80">
        <f>LOOKUP(C21,'TABLA ANTIG.'!$A$4:$A$39,'TABLA ANTIG.'!$B$4:$B$39)*(K21)</f>
        <v>0</v>
      </c>
      <c r="O21" s="28">
        <f t="shared" si="1"/>
        <v>53.736480000000007</v>
      </c>
      <c r="P21" s="90">
        <f>IF(D21&gt;48,'DATOS REFERENCIALES'!D8+('DATOS REFERENCIALES'!F8*10),IF(D21&lt;39,'DATOS REFERENCIALES'!$E$8*D21,((D21-'DATOS REFERENCIALES'!$I$8)*'DATOS REFERENCIALES'!$F$8)+'DATOS REFERENCIALES'!D8))</f>
        <v>335.89473684210526</v>
      </c>
      <c r="Q21" s="80">
        <f>LOOKUP(C21,'TABLA ANTIG.'!$A$4:$A$39,'TABLA ANTIG.'!$B$4:$B$39)*(P21)</f>
        <v>0</v>
      </c>
      <c r="R21" s="28">
        <v>0</v>
      </c>
      <c r="S21" s="551">
        <f>IF(C21&gt;11,IF(H21&gt;1134,'DATOS REFERENCIALES'!$C$18,'DATOS REFERENCIALES'!$C$18/20*D21),0)</f>
        <v>0</v>
      </c>
      <c r="T21" s="28">
        <f>K21+N21+O21+P21+Q21+R21+S21</f>
        <v>926.99601684210529</v>
      </c>
      <c r="U21" s="28">
        <f t="shared" si="2"/>
        <v>101.96956185263159</v>
      </c>
      <c r="V21" s="28">
        <f t="shared" si="3"/>
        <v>27.809880505263159</v>
      </c>
      <c r="W21" s="28">
        <f t="shared" si="3"/>
        <v>27.809880505263159</v>
      </c>
      <c r="X21" s="28">
        <f t="shared" si="4"/>
        <v>18.539920336842105</v>
      </c>
      <c r="Y21" s="28">
        <f t="shared" si="5"/>
        <v>41.714820757894735</v>
      </c>
      <c r="Z21" s="28">
        <f t="shared" si="6"/>
        <v>217.84406395789472</v>
      </c>
      <c r="AA21" s="80">
        <f t="shared" si="7"/>
        <v>709.15195288421057</v>
      </c>
      <c r="AB21" s="150">
        <f>IF(D21&gt;38,'DATOS REFERENCIALES'!$D$10,'DATOS REFERENCIALES'!$E$10*D21)</f>
        <v>119.47368421052632</v>
      </c>
      <c r="AC21" s="551">
        <f>IF(C21&lt;12,IF(H21&gt;1134,'DATOS REFERENCIALES'!$C$17,'DATOS REFERENCIALES'!$C$17/20*D21),0)</f>
        <v>129.19999999999999</v>
      </c>
      <c r="AD21" s="80">
        <f>IF(D21&gt;41,IF((('DATOS REFERENCIALES'!$D$9)-((T21)+(AB21)+(AC21)))&lt;0,0,((('DATOS REFERENCIALES'!$D$9)-((T21)-(Z21)+(AB21)+(AC21))))),IF((('DATOS REFERENCIALES'!$E$9*D21)-(((T21)+(AB21)+(AC21))))&lt;0,0,('DATOS REFERENCIALES'!$E$9*D21)-((T21)-(Z21)+(AB21)+(AC21))))</f>
        <v>469.07436290526311</v>
      </c>
      <c r="AE21" s="131">
        <f t="shared" si="8"/>
        <v>1426.9</v>
      </c>
      <c r="AF21" s="92">
        <f>IF(D21&gt;30,'DATOS REFERENCIALES'!$D$13,('DATOS REFERENCIALES'!$E$13*D21))</f>
        <v>80.666666666666671</v>
      </c>
      <c r="AG21" s="270"/>
      <c r="AH21" s="158" t="e">
        <f>IF(D21&gt;'DATOS REFERENCIALES'!#REF!,'DATOS REFERENCIALES'!#REF!,('DATOS REFERENCIALES'!#REF!*D21))</f>
        <v>#REF!</v>
      </c>
      <c r="AI21" s="551">
        <f t="shared" si="9"/>
        <v>80.666666666666671</v>
      </c>
      <c r="AJ21" s="158">
        <f>IF(D21&gt;'DATOS REFERENCIALES'!$I$12,'DATOS REFERENCIALES'!$D$12,'DATOS REFERENCIALES'!$E$12*D21)</f>
        <v>14</v>
      </c>
      <c r="AK21" s="150">
        <f>+AE21+AF21+AI21+AJ21</f>
        <v>1602.2333333333336</v>
      </c>
      <c r="AL21" s="558">
        <f>IF(D21&gt;'DATOS REFERENCIALES'!$I$16,'DATOS REFERENCIALES'!$D$16,'DATOS REFERENCIALES'!$E$16*D21)</f>
        <v>134.82033333333334</v>
      </c>
      <c r="AM21" s="28">
        <f t="shared" si="10"/>
        <v>31.682778333333331</v>
      </c>
      <c r="AN21" s="28">
        <f t="shared" si="11"/>
        <v>103.13755500000001</v>
      </c>
      <c r="AO21" s="560">
        <f>AK21+AN21</f>
        <v>1705.3708883333336</v>
      </c>
      <c r="AP21" s="17"/>
      <c r="AQ21" s="17"/>
    </row>
    <row r="22" spans="1:45" s="1" customFormat="1" ht="15.75" thickBot="1" x14ac:dyDescent="0.25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608"/>
      <c r="AD22" s="13"/>
      <c r="AE22" s="13"/>
      <c r="AF22" s="13"/>
      <c r="AG22" s="13"/>
      <c r="AH22" s="13"/>
      <c r="AI22" s="608"/>
      <c r="AJ22" s="13"/>
      <c r="AK22" s="13"/>
      <c r="AL22" s="554"/>
      <c r="AM22" s="13"/>
      <c r="AN22" s="13"/>
      <c r="AO22" s="16"/>
      <c r="AP22" s="17"/>
      <c r="AQ22" s="17"/>
    </row>
    <row r="23" spans="1:45" s="1" customFormat="1" ht="19.5" customHeight="1" thickBot="1" x14ac:dyDescent="0.35">
      <c r="A23" s="94" t="s">
        <v>129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4" t="s">
        <v>129</v>
      </c>
      <c r="AF23" s="133"/>
      <c r="AG23" s="133"/>
      <c r="AH23" s="133"/>
      <c r="AI23" s="133"/>
      <c r="AJ23" s="133"/>
      <c r="AK23" s="134"/>
      <c r="AL23" s="554"/>
      <c r="AM23" s="13"/>
      <c r="AN23" s="13"/>
      <c r="AO23" s="16"/>
      <c r="AP23" s="17"/>
      <c r="AQ23" s="17"/>
    </row>
    <row r="24" spans="1:45" s="2" customFormat="1" ht="25.5" customHeight="1" thickBot="1" x14ac:dyDescent="0.25">
      <c r="A24" s="726" t="s">
        <v>1</v>
      </c>
      <c r="B24" s="726" t="s">
        <v>0</v>
      </c>
      <c r="C24" s="658" t="s">
        <v>77</v>
      </c>
      <c r="D24" s="658" t="s">
        <v>119</v>
      </c>
      <c r="E24" s="658" t="s">
        <v>112</v>
      </c>
      <c r="F24" s="658" t="s">
        <v>113</v>
      </c>
      <c r="G24" s="658" t="s">
        <v>102</v>
      </c>
      <c r="H24" s="658" t="s">
        <v>79</v>
      </c>
      <c r="I24" s="658" t="s">
        <v>147</v>
      </c>
      <c r="J24" s="684" t="s">
        <v>146</v>
      </c>
      <c r="K24" s="684" t="s">
        <v>121</v>
      </c>
      <c r="L24" s="684" t="s">
        <v>145</v>
      </c>
      <c r="M24" s="684" t="s">
        <v>146</v>
      </c>
      <c r="N24" s="686" t="s">
        <v>85</v>
      </c>
      <c r="O24" s="724" t="s">
        <v>120</v>
      </c>
      <c r="P24" s="697" t="s">
        <v>86</v>
      </c>
      <c r="Q24" s="686" t="s">
        <v>101</v>
      </c>
      <c r="R24" s="686" t="s">
        <v>84</v>
      </c>
      <c r="S24" s="658" t="s">
        <v>209</v>
      </c>
      <c r="T24" s="686" t="s">
        <v>69</v>
      </c>
      <c r="U24" s="711" t="s">
        <v>59</v>
      </c>
      <c r="V24" s="712"/>
      <c r="W24" s="712"/>
      <c r="X24" s="712"/>
      <c r="Y24" s="713"/>
      <c r="Z24" s="658" t="s">
        <v>68</v>
      </c>
      <c r="AA24" s="658" t="s">
        <v>89</v>
      </c>
      <c r="AB24" s="658" t="s">
        <v>88</v>
      </c>
      <c r="AC24" s="658" t="s">
        <v>208</v>
      </c>
      <c r="AD24" s="658" t="s">
        <v>87</v>
      </c>
      <c r="AE24" s="658" t="s">
        <v>91</v>
      </c>
      <c r="AF24" s="658" t="s">
        <v>90</v>
      </c>
      <c r="AG24" s="658" t="s">
        <v>173</v>
      </c>
      <c r="AH24" s="658" t="s">
        <v>190</v>
      </c>
      <c r="AI24" s="658" t="s">
        <v>196</v>
      </c>
      <c r="AJ24" s="696" t="s">
        <v>144</v>
      </c>
      <c r="AK24" s="658" t="s">
        <v>92</v>
      </c>
      <c r="AL24" s="658" t="s">
        <v>186</v>
      </c>
      <c r="AM24" s="682" t="s">
        <v>68</v>
      </c>
      <c r="AN24" s="658" t="s">
        <v>188</v>
      </c>
      <c r="AO24" s="658" t="s">
        <v>189</v>
      </c>
      <c r="AP24" s="17"/>
      <c r="AQ24" s="17"/>
    </row>
    <row r="25" spans="1:45" s="2" customFormat="1" ht="93.75" customHeight="1" thickBot="1" x14ac:dyDescent="0.25">
      <c r="A25" s="727"/>
      <c r="B25" s="727"/>
      <c r="C25" s="679"/>
      <c r="D25" s="679"/>
      <c r="E25" s="679"/>
      <c r="F25" s="679"/>
      <c r="G25" s="679"/>
      <c r="H25" s="679"/>
      <c r="I25" s="679"/>
      <c r="J25" s="685"/>
      <c r="K25" s="685"/>
      <c r="L25" s="685"/>
      <c r="M25" s="685"/>
      <c r="N25" s="687"/>
      <c r="O25" s="725"/>
      <c r="P25" s="698"/>
      <c r="Q25" s="687"/>
      <c r="R25" s="719"/>
      <c r="S25" s="679"/>
      <c r="T25" s="719"/>
      <c r="U25" s="97" t="s">
        <v>140</v>
      </c>
      <c r="V25" s="97" t="s">
        <v>61</v>
      </c>
      <c r="W25" s="97" t="s">
        <v>62</v>
      </c>
      <c r="X25" s="97" t="s">
        <v>63</v>
      </c>
      <c r="Y25" s="97" t="s">
        <v>64</v>
      </c>
      <c r="Z25" s="679"/>
      <c r="AA25" s="659"/>
      <c r="AB25" s="659"/>
      <c r="AC25" s="659"/>
      <c r="AD25" s="659"/>
      <c r="AE25" s="659"/>
      <c r="AF25" s="659"/>
      <c r="AG25" s="679"/>
      <c r="AH25" s="659"/>
      <c r="AI25" s="659"/>
      <c r="AJ25" s="679"/>
      <c r="AK25" s="659"/>
      <c r="AL25" s="679"/>
      <c r="AM25" s="683"/>
      <c r="AN25" s="679"/>
      <c r="AO25" s="679"/>
      <c r="AP25" s="17"/>
      <c r="AQ25" s="17"/>
    </row>
    <row r="26" spans="1:45" s="1" customFormat="1" ht="22.5" customHeight="1" x14ac:dyDescent="0.2">
      <c r="A26" s="365">
        <v>834</v>
      </c>
      <c r="B26" s="406" t="s">
        <v>5</v>
      </c>
      <c r="C26" s="337">
        <v>0</v>
      </c>
      <c r="D26" s="337"/>
      <c r="E26" s="337"/>
      <c r="F26" s="337"/>
      <c r="G26" s="407">
        <v>3125</v>
      </c>
      <c r="H26" s="337">
        <f t="shared" ref="H26:H34" si="12">SUM(G26:G26)</f>
        <v>3125</v>
      </c>
      <c r="I26" s="337"/>
      <c r="J26" s="337"/>
      <c r="K26" s="342">
        <f>H26*'DATOS REFERENCIALES'!$C$4</f>
        <v>29986.875</v>
      </c>
      <c r="L26" s="342"/>
      <c r="M26" s="342"/>
      <c r="N26" s="344">
        <f>LOOKUP(C26,'TABLA ANTIG.'!$A$4:$A$39,'TABLA ANTIG.'!$B$4:$B$39)*(K26)</f>
        <v>0</v>
      </c>
      <c r="O26" s="344">
        <f t="shared" ref="O26:O34" si="13">K26*0.1</f>
        <v>2998.6875</v>
      </c>
      <c r="P26" s="342">
        <f>'DATOS REFERENCIALES'!$D$8</f>
        <v>12764</v>
      </c>
      <c r="Q26" s="344">
        <f>LOOKUP(C26,'TABLA ANTIG.'!$A$4:$A$39,'TABLA ANTIG.'!$B$4:$B$39)*(P26)</f>
        <v>0</v>
      </c>
      <c r="R26" s="421">
        <v>0</v>
      </c>
      <c r="S26" s="422">
        <f>IF(C26&gt;11,IF(H26&gt;2069,'DATOS REFERENCIALES'!$D$18,'DATOS REFERENCIALES'!$D$18/2070*H26),0)</f>
        <v>0</v>
      </c>
      <c r="T26" s="422">
        <f>K26+N26+O26+P26+Q26+R26+S26</f>
        <v>45749.5625</v>
      </c>
      <c r="U26" s="344">
        <f t="shared" ref="U26:U34" si="14">$T26*11%</f>
        <v>5032.4518749999997</v>
      </c>
      <c r="V26" s="344">
        <f t="shared" ref="V26:W34" si="15">$T26*3%</f>
        <v>1372.4868750000001</v>
      </c>
      <c r="W26" s="344">
        <f t="shared" si="15"/>
        <v>1372.4868750000001</v>
      </c>
      <c r="X26" s="344">
        <f t="shared" ref="X26:X34" si="16">$T26*2%</f>
        <v>914.99125000000004</v>
      </c>
      <c r="Y26" s="344">
        <f t="shared" ref="Y26:Y34" si="17">$T26*4.5%</f>
        <v>2058.7303124999999</v>
      </c>
      <c r="Z26" s="422">
        <f t="shared" ref="Z26:Z34" si="18">SUM(U26:Y26)</f>
        <v>10751.147187499999</v>
      </c>
      <c r="AA26" s="422">
        <f t="shared" ref="AA26:AA34" si="19">T26-Z26</f>
        <v>34998.415312500001</v>
      </c>
      <c r="AB26" s="423">
        <f>'DATOS REFERENCIALES'!$D$10</f>
        <v>4540</v>
      </c>
      <c r="AC26" s="422">
        <f>IF(C26&lt;12,IF(H26&gt;2069,'DATOS REFERENCIALES'!$D$17,'DATOS REFERENCIALES'!$D$17/2070*H26),0)</f>
        <v>5168</v>
      </c>
      <c r="AD26" s="422">
        <f>IF((IF(H26&gt;2069,('DATOS REFERENCIALES'!$D$9-(T26-U26-V26-W26-X26-Y26+AB26+AC26)),(('DATOS REFERENCIALES'!$D$9/2070)*H26)-(K26+N26+O26+P26+Q26+S26-U26-V26-W26-X26-Y26+AB26+AC26)))&lt;0,0,IF(H26&gt;2069,(('DATOS REFERENCIALES'!$D$9)-(T26-U26-V26-W26-X26-Y26+AB26+AC26)),(('DATOS REFERENCIALES'!$D$9/2070)*H26)-(K26+N26+O26+P26+Q26+S26-U26-V26-W26-X26-Y26+AB26+AC26)))</f>
        <v>12369.584687499999</v>
      </c>
      <c r="AE26" s="422">
        <f t="shared" ref="AE26:AE34" si="20">SUM(AA26:AD26)</f>
        <v>57076</v>
      </c>
      <c r="AF26" s="349">
        <f>'DATOS REFERENCIALES'!$D$13</f>
        <v>2420</v>
      </c>
      <c r="AG26" s="370"/>
      <c r="AH26" s="421" t="e">
        <f>IF($H26&gt;2042,'DATOS REFERENCIALES'!#REF!,'DATOS REFERENCIALES'!#REF!/2043*$H26)</f>
        <v>#REF!</v>
      </c>
      <c r="AI26" s="634">
        <f>+AF26</f>
        <v>2420</v>
      </c>
      <c r="AJ26" s="424">
        <f>'DATOS REFERENCIALES'!$D$12</f>
        <v>420</v>
      </c>
      <c r="AK26" s="676">
        <f>+AE26+AE27+AF26+AI26+AJ26</f>
        <v>67004.349023360002</v>
      </c>
      <c r="AL26" s="660">
        <f>'DATOS REFERENCIALES'!$D$16</f>
        <v>4044.61</v>
      </c>
      <c r="AM26" s="676">
        <f>AL26*$AM$8</f>
        <v>950.48334999999997</v>
      </c>
      <c r="AN26" s="676">
        <f>AL26-AM26</f>
        <v>3094.1266500000002</v>
      </c>
      <c r="AO26" s="674">
        <f>AK26+AN26</f>
        <v>70098.475673360008</v>
      </c>
      <c r="AP26" s="17"/>
      <c r="AQ26" s="17"/>
    </row>
    <row r="27" spans="1:45" s="1" customFormat="1" ht="28.5" customHeight="1" thickBot="1" x14ac:dyDescent="0.25">
      <c r="A27" s="371">
        <v>834</v>
      </c>
      <c r="B27" s="408" t="s">
        <v>5</v>
      </c>
      <c r="C27" s="352">
        <f>IF(C26&gt;0,C26,0)</f>
        <v>0</v>
      </c>
      <c r="D27" s="352"/>
      <c r="E27" s="352"/>
      <c r="F27" s="352"/>
      <c r="G27" s="409"/>
      <c r="H27" s="352"/>
      <c r="I27" s="614">
        <f>234.38/'DATOS REFERENCIALES'!$I$4*'DATOS REFERENCIALES'!$J$4</f>
        <v>390.63333333333333</v>
      </c>
      <c r="J27" s="356" t="s">
        <v>149</v>
      </c>
      <c r="K27" s="357"/>
      <c r="L27" s="357">
        <f>I27*'DATOS REFERENCIALES'!$C$4</f>
        <v>3748.4393400000004</v>
      </c>
      <c r="M27" s="357">
        <f>IF(J27='DATOS REFERENCIALES'!$C$31,K26*'DATOS REFERENCIALES'!$D$31,IF(J27='DATOS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REFERENCIALES'!$D$37*K26),IF(J27='DATOS REFERENCIALES'!$C$38,('DATOS REFERENCIALES'!$D$38*K26),0))))))))</f>
        <v>1799.2124999999999</v>
      </c>
      <c r="N27" s="359">
        <f>LOOKUP(C27,'TABLA ANTIG.'!$A$4:$A$39,'TABLA ANTIG.'!$B$4:$B$39)*(L27+M27)</f>
        <v>0</v>
      </c>
      <c r="O27" s="359">
        <f>(L27+M27)*0.1</f>
        <v>554.76518400000009</v>
      </c>
      <c r="P27" s="357"/>
      <c r="Q27" s="359"/>
      <c r="R27" s="358"/>
      <c r="S27" s="359"/>
      <c r="T27" s="359">
        <f>L27+M27+N27+O27+P27+Q27+R27</f>
        <v>6102.4170240000003</v>
      </c>
      <c r="U27" s="362">
        <f t="shared" si="14"/>
        <v>671.26587264</v>
      </c>
      <c r="V27" s="359">
        <f t="shared" si="15"/>
        <v>183.07251072</v>
      </c>
      <c r="W27" s="362">
        <f t="shared" si="15"/>
        <v>183.07251072</v>
      </c>
      <c r="X27" s="359">
        <f>$T27*2%</f>
        <v>122.04834048000001</v>
      </c>
      <c r="Y27" s="359">
        <f t="shared" si="17"/>
        <v>274.60876608000001</v>
      </c>
      <c r="Z27" s="359">
        <f t="shared" si="18"/>
        <v>1434.0680006399998</v>
      </c>
      <c r="AA27" s="363">
        <f t="shared" si="19"/>
        <v>4668.3490233600005</v>
      </c>
      <c r="AB27" s="359"/>
      <c r="AC27" s="359"/>
      <c r="AD27" s="359"/>
      <c r="AE27" s="358">
        <f t="shared" si="20"/>
        <v>4668.3490233600005</v>
      </c>
      <c r="AF27" s="364"/>
      <c r="AG27" s="376"/>
      <c r="AH27" s="358"/>
      <c r="AI27" s="448"/>
      <c r="AJ27" s="359"/>
      <c r="AK27" s="677"/>
      <c r="AL27" s="661"/>
      <c r="AM27" s="677"/>
      <c r="AN27" s="677"/>
      <c r="AO27" s="675"/>
      <c r="AP27" s="17"/>
      <c r="AQ27" s="17"/>
    </row>
    <row r="28" spans="1:45" s="1" customFormat="1" ht="27.75" customHeight="1" thickBot="1" x14ac:dyDescent="0.25">
      <c r="A28" s="395">
        <v>870</v>
      </c>
      <c r="B28" s="275" t="s">
        <v>3</v>
      </c>
      <c r="C28" s="276">
        <v>0</v>
      </c>
      <c r="D28" s="276"/>
      <c r="E28" s="276"/>
      <c r="F28" s="276"/>
      <c r="G28" s="277">
        <v>2667</v>
      </c>
      <c r="H28" s="276">
        <f t="shared" si="12"/>
        <v>2667</v>
      </c>
      <c r="I28" s="615"/>
      <c r="J28" s="276"/>
      <c r="K28" s="278">
        <f>H28*'DATOS REFERENCIALES'!$C$4</f>
        <v>25591.998600000003</v>
      </c>
      <c r="L28" s="278"/>
      <c r="M28" s="278"/>
      <c r="N28" s="280">
        <f>LOOKUP(C28,'TABLA ANTIG.'!$A$4:$A$39,'TABLA ANTIG.'!$B$4:$B$39)*(K28)</f>
        <v>0</v>
      </c>
      <c r="O28" s="280">
        <f t="shared" si="13"/>
        <v>2559.1998600000006</v>
      </c>
      <c r="P28" s="278">
        <f>'DATOS REFERENCIALES'!$D$8</f>
        <v>12764</v>
      </c>
      <c r="Q28" s="280">
        <f>LOOKUP(C28,'TABLA ANTIG.'!$A$4:$A$39,'TABLA ANTIG.'!$B$4:$B$39)*(P28)</f>
        <v>0</v>
      </c>
      <c r="R28" s="282">
        <v>0</v>
      </c>
      <c r="S28" s="415">
        <f>IF(C28&gt;11,IF(H28&gt;2069,'DATOS REFERENCIALES'!$D$18,'DATOS REFERENCIALES'!$D$18/2070*H28),0)</f>
        <v>0</v>
      </c>
      <c r="T28" s="280">
        <f>K28+N28+O28+P28+Q28+R28+S28</f>
        <v>40915.19846</v>
      </c>
      <c r="U28" s="280">
        <f t="shared" si="14"/>
        <v>4500.6718306000002</v>
      </c>
      <c r="V28" s="415">
        <f t="shared" si="15"/>
        <v>1227.4559537999999</v>
      </c>
      <c r="W28" s="415">
        <f t="shared" si="15"/>
        <v>1227.4559537999999</v>
      </c>
      <c r="X28" s="415">
        <f t="shared" si="16"/>
        <v>818.30396919999998</v>
      </c>
      <c r="Y28" s="415">
        <f t="shared" si="17"/>
        <v>1841.1839307</v>
      </c>
      <c r="Z28" s="415">
        <f t="shared" si="18"/>
        <v>9615.0716380999984</v>
      </c>
      <c r="AA28" s="415">
        <f t="shared" si="19"/>
        <v>31300.126821900001</v>
      </c>
      <c r="AB28" s="425">
        <f>'DATOS REFERENCIALES'!$D$10</f>
        <v>4540</v>
      </c>
      <c r="AC28" s="415">
        <f>IF(C28&lt;12,IF(H28&gt;2069,'DATOS REFERENCIALES'!$D$17,'DATOS REFERENCIALES'!$D$17/2070*H28),0)</f>
        <v>5168</v>
      </c>
      <c r="AD28" s="415">
        <f>IF((IF(H28&gt;2069,('DATOS REFERENCIALES'!$D$9-(T28-U28-V28-W28-X28-Y28+AB28+AC28)),(('DATOS REFERENCIALES'!$D$9/2070)*H28)-(K28+N28+O28+P28+Q28+S28-U28-V28-W28-X28-Y28+AB28+AC28)))&lt;0,0,IF(H28&gt;2069,(('DATOS REFERENCIALES'!$D$9)-(T28-U28-V28-W28-X28-Y28+AB28+AC28)),(('DATOS REFERENCIALES'!$D$9/2070)*H28)-(K28+N28+O28+P28+Q28+S28-U28-V28-W28-X28-Y28+AB28+AC28)))</f>
        <v>16067.87317810001</v>
      </c>
      <c r="AE28" s="415">
        <f t="shared" si="20"/>
        <v>57076.000000000015</v>
      </c>
      <c r="AF28" s="528">
        <f>'DATOS REFERENCIALES'!$D$13</f>
        <v>2420</v>
      </c>
      <c r="AG28" s="399"/>
      <c r="AH28" s="498" t="e">
        <f>IF($H28&gt;2042,'DATOS REFERENCIALES'!#REF!,'DATOS REFERENCIALES'!#REF!/2043*$H28)</f>
        <v>#REF!</v>
      </c>
      <c r="AI28" s="280">
        <f t="shared" ref="AI28:AI34" si="21">+AF28</f>
        <v>2420</v>
      </c>
      <c r="AJ28" s="498">
        <f>'DATOS REFERENCIALES'!$D$12</f>
        <v>420</v>
      </c>
      <c r="AK28" s="664">
        <f>+AE28+AE29+AF28+AI28+AJ28</f>
        <v>65028.025643285015</v>
      </c>
      <c r="AL28" s="662">
        <f>'DATOS REFERENCIALES'!$D$16</f>
        <v>4044.61</v>
      </c>
      <c r="AM28" s="664">
        <f t="shared" ref="AM28:AM34" si="22">AL28*$AM$8</f>
        <v>950.48334999999997</v>
      </c>
      <c r="AN28" s="664">
        <f t="shared" ref="AN28:AN34" si="23">AL28-AM28</f>
        <v>3094.1266500000002</v>
      </c>
      <c r="AO28" s="666">
        <f>AK28+AN28</f>
        <v>68122.15229328502</v>
      </c>
      <c r="AP28" s="17"/>
      <c r="AQ28" s="17"/>
    </row>
    <row r="29" spans="1:45" s="1" customFormat="1" ht="27.75" customHeight="1" thickBot="1" x14ac:dyDescent="0.25">
      <c r="A29" s="400">
        <v>870</v>
      </c>
      <c r="B29" s="417" t="s">
        <v>3</v>
      </c>
      <c r="C29" s="288">
        <f>IF(C28&gt;0,C28,0)</f>
        <v>0</v>
      </c>
      <c r="D29" s="328"/>
      <c r="E29" s="328"/>
      <c r="F29" s="328"/>
      <c r="G29" s="418"/>
      <c r="H29" s="328"/>
      <c r="I29" s="621">
        <f>200.03/'DATOS REFERENCIALES'!$I$4*'DATOS REFERENCIALES'!$J$4</f>
        <v>333.38333333333333</v>
      </c>
      <c r="J29" s="419"/>
      <c r="K29" s="332"/>
      <c r="L29" s="332">
        <f>I29*'DATOS REFERENCIALES'!$C$4</f>
        <v>3199.0797900000002</v>
      </c>
      <c r="M29" s="332"/>
      <c r="N29" s="299">
        <f>LOOKUP(C29,'TABLA ANTIG.'!$A$4:$A$39,'TABLA ANTIG.'!$B$4:$B$39)*(L29+M29)</f>
        <v>0</v>
      </c>
      <c r="O29" s="299">
        <f>(L29+M29)*0.1</f>
        <v>319.90797900000007</v>
      </c>
      <c r="P29" s="332"/>
      <c r="Q29" s="299"/>
      <c r="R29" s="297"/>
      <c r="S29" s="333"/>
      <c r="T29" s="299">
        <f>L29+M29+N29+O29+P29+Q29+R29</f>
        <v>3518.9877690000003</v>
      </c>
      <c r="U29" s="299">
        <f t="shared" si="14"/>
        <v>387.08865459000003</v>
      </c>
      <c r="V29" s="299">
        <f t="shared" si="15"/>
        <v>105.56963307000001</v>
      </c>
      <c r="W29" s="333">
        <f t="shared" si="15"/>
        <v>105.56963307000001</v>
      </c>
      <c r="X29" s="299">
        <f>$T29*2%</f>
        <v>70.379755380000006</v>
      </c>
      <c r="Y29" s="299">
        <f t="shared" si="17"/>
        <v>158.35444960500001</v>
      </c>
      <c r="Z29" s="299">
        <f t="shared" si="18"/>
        <v>826.96212571500007</v>
      </c>
      <c r="AA29" s="334">
        <f t="shared" si="19"/>
        <v>2692.0256432850001</v>
      </c>
      <c r="AB29" s="299"/>
      <c r="AC29" s="299"/>
      <c r="AD29" s="299"/>
      <c r="AE29" s="297">
        <f t="shared" si="20"/>
        <v>2692.0256432850001</v>
      </c>
      <c r="AF29" s="526"/>
      <c r="AG29" s="405"/>
      <c r="AH29" s="297"/>
      <c r="AI29" s="294"/>
      <c r="AJ29" s="334"/>
      <c r="AK29" s="665"/>
      <c r="AL29" s="663"/>
      <c r="AM29" s="665"/>
      <c r="AN29" s="665"/>
      <c r="AO29" s="667"/>
      <c r="AP29" s="17"/>
      <c r="AQ29" s="555"/>
    </row>
    <row r="30" spans="1:45" s="1" customFormat="1" ht="27.75" customHeight="1" x14ac:dyDescent="0.2">
      <c r="A30" s="377">
        <v>849</v>
      </c>
      <c r="B30" s="301" t="s">
        <v>4</v>
      </c>
      <c r="C30" s="302">
        <v>0</v>
      </c>
      <c r="D30" s="302"/>
      <c r="E30" s="302"/>
      <c r="F30" s="302"/>
      <c r="G30" s="303">
        <v>2359</v>
      </c>
      <c r="H30" s="302">
        <f t="shared" si="12"/>
        <v>2359</v>
      </c>
      <c r="I30" s="616"/>
      <c r="J30" s="302"/>
      <c r="K30" s="304">
        <f>H30*'DATOS REFERENCIALES'!$C$4</f>
        <v>22636.492200000001</v>
      </c>
      <c r="L30" s="304"/>
      <c r="M30" s="304"/>
      <c r="N30" s="306">
        <f>LOOKUP(C30,'TABLA ANTIG.'!$A$4:$A$39,'TABLA ANTIG.'!$B$4:$B$39)*(K30)</f>
        <v>0</v>
      </c>
      <c r="O30" s="306">
        <f t="shared" si="13"/>
        <v>2263.6492200000002</v>
      </c>
      <c r="P30" s="304">
        <f>'DATOS REFERENCIALES'!$D$8</f>
        <v>12764</v>
      </c>
      <c r="Q30" s="306">
        <f>LOOKUP(C30,'TABLA ANTIG.'!$A$4:$A$39,'TABLA ANTIG.'!$B$4:$B$39)*(P30)</f>
        <v>0</v>
      </c>
      <c r="R30" s="310">
        <v>0</v>
      </c>
      <c r="S30" s="411">
        <f>IF(C30&gt;11,IF(H30&gt;2069,'DATOS REFERENCIALES'!$D$18,'DATOS REFERENCIALES'!$D$18/2070*H30),0)</f>
        <v>0</v>
      </c>
      <c r="T30" s="306">
        <f>K30+N30+O30+P30+Q30+R30+S30</f>
        <v>37664.14142</v>
      </c>
      <c r="U30" s="426">
        <f t="shared" si="14"/>
        <v>4143.0555562</v>
      </c>
      <c r="V30" s="411">
        <f t="shared" si="15"/>
        <v>1129.9242425999998</v>
      </c>
      <c r="W30" s="411">
        <f t="shared" si="15"/>
        <v>1129.9242425999998</v>
      </c>
      <c r="X30" s="411">
        <f t="shared" si="16"/>
        <v>753.28282839999997</v>
      </c>
      <c r="Y30" s="411">
        <f t="shared" si="17"/>
        <v>1694.8863638999999</v>
      </c>
      <c r="Z30" s="411">
        <f t="shared" si="18"/>
        <v>8851.073233699999</v>
      </c>
      <c r="AA30" s="411">
        <f t="shared" si="19"/>
        <v>28813.068186299999</v>
      </c>
      <c r="AB30" s="427">
        <f>'DATOS REFERENCIALES'!$D$10</f>
        <v>4540</v>
      </c>
      <c r="AC30" s="411">
        <f>IF(C30&lt;12,IF(H30&gt;2069,'DATOS REFERENCIALES'!$D$17,'DATOS REFERENCIALES'!$D$17/2070*H30),0)</f>
        <v>5168</v>
      </c>
      <c r="AD30" s="411">
        <f>IF((IF(H30&gt;2069,('DATOS REFERENCIALES'!$D$9-(T30-U30-V30-W30-X30-Y30+AB30+AC30)),(('DATOS REFERENCIALES'!$D$9/2070)*H30)-(K30+N30+O30+P30+Q30+S30-U30-V30-W30-X30-Y30+AB30+AC30)))&lt;0,0,IF(H30&gt;2069,(('DATOS REFERENCIALES'!$D$9)-(T30-U30-V30-W30-X30-Y30+AB30+AC30)),(('DATOS REFERENCIALES'!$D$9/2070)*H30)-(K30+N30+O30+P30+Q30+S30-U30-V30-W30-X30-Y30+AB30+AC30)))</f>
        <v>18554.931813699994</v>
      </c>
      <c r="AE30" s="411">
        <f t="shared" si="20"/>
        <v>57075.999999999993</v>
      </c>
      <c r="AF30" s="529">
        <f>'DATOS REFERENCIALES'!$D$13</f>
        <v>2420</v>
      </c>
      <c r="AG30" s="383"/>
      <c r="AH30" s="495" t="e">
        <f>IF($H30&gt;2042,'DATOS REFERENCIALES'!#REF!,'DATOS REFERENCIALES'!#REF!/2043*$H30)</f>
        <v>#REF!</v>
      </c>
      <c r="AI30" s="306">
        <f t="shared" si="21"/>
        <v>2420</v>
      </c>
      <c r="AJ30" s="495">
        <f>'DATOS REFERENCIALES'!$D$12</f>
        <v>420</v>
      </c>
      <c r="AK30" s="670">
        <f>+AE30+AE31+AF30+AI30+AJ30</f>
        <v>64717.143313834989</v>
      </c>
      <c r="AL30" s="668">
        <f>'DATOS REFERENCIALES'!$D$16</f>
        <v>4044.61</v>
      </c>
      <c r="AM30" s="670">
        <f t="shared" si="22"/>
        <v>950.48334999999997</v>
      </c>
      <c r="AN30" s="670">
        <f t="shared" si="23"/>
        <v>3094.1266500000002</v>
      </c>
      <c r="AO30" s="672">
        <f>AK30+AN30</f>
        <v>67811.269963834988</v>
      </c>
      <c r="AP30" s="17"/>
      <c r="AQ30" s="17"/>
      <c r="AR30" s="9"/>
      <c r="AS30" s="8"/>
    </row>
    <row r="31" spans="1:45" s="1" customFormat="1" ht="27.75" customHeight="1" thickBot="1" x14ac:dyDescent="0.25">
      <c r="A31" s="384">
        <v>849</v>
      </c>
      <c r="B31" s="313" t="s">
        <v>4</v>
      </c>
      <c r="C31" s="314">
        <f>IF(C30&gt;0,C30,0)</f>
        <v>0</v>
      </c>
      <c r="D31" s="314"/>
      <c r="E31" s="314"/>
      <c r="F31" s="314"/>
      <c r="G31" s="315"/>
      <c r="H31" s="314"/>
      <c r="I31" s="617">
        <f>176.93/'DATOS REFERENCIALES'!$I$4*'DATOS REFERENCIALES'!$J$4</f>
        <v>294.88333333333333</v>
      </c>
      <c r="J31" s="413"/>
      <c r="K31" s="316"/>
      <c r="L31" s="316">
        <f>I31*'DATOS REFERENCIALES'!$C$4</f>
        <v>2829.64149</v>
      </c>
      <c r="M31" s="316"/>
      <c r="N31" s="320">
        <f>LOOKUP(C31,'TABLA ANTIG.'!$A$4:$A$39,'TABLA ANTIG.'!$B$4:$B$39)*(L31+M31)</f>
        <v>0</v>
      </c>
      <c r="O31" s="320">
        <f>(L31+M31)*0.1</f>
        <v>282.96414900000002</v>
      </c>
      <c r="P31" s="316"/>
      <c r="Q31" s="320"/>
      <c r="R31" s="322"/>
      <c r="S31" s="552"/>
      <c r="T31" s="320">
        <f>L31+M31+N31+O31+P31+Q31+R31</f>
        <v>3112.6056389999999</v>
      </c>
      <c r="U31" s="321">
        <f t="shared" si="14"/>
        <v>342.38662029</v>
      </c>
      <c r="V31" s="320">
        <f t="shared" si="15"/>
        <v>93.378169169999993</v>
      </c>
      <c r="W31" s="321">
        <f t="shared" si="15"/>
        <v>93.378169169999993</v>
      </c>
      <c r="X31" s="320">
        <f>$T31*2%</f>
        <v>62.252112779999997</v>
      </c>
      <c r="Y31" s="320">
        <f t="shared" si="17"/>
        <v>140.067253755</v>
      </c>
      <c r="Z31" s="320">
        <f t="shared" si="18"/>
        <v>731.46232516499992</v>
      </c>
      <c r="AA31" s="323">
        <f t="shared" si="19"/>
        <v>2381.1433138349998</v>
      </c>
      <c r="AB31" s="320"/>
      <c r="AC31" s="320"/>
      <c r="AD31" s="320"/>
      <c r="AE31" s="322">
        <f t="shared" si="20"/>
        <v>2381.1433138349998</v>
      </c>
      <c r="AF31" s="324"/>
      <c r="AG31" s="390"/>
      <c r="AH31" s="322"/>
      <c r="AI31" s="320"/>
      <c r="AJ31" s="323"/>
      <c r="AK31" s="678"/>
      <c r="AL31" s="681"/>
      <c r="AM31" s="671"/>
      <c r="AN31" s="671"/>
      <c r="AO31" s="680"/>
      <c r="AP31" s="17"/>
      <c r="AQ31" s="17"/>
      <c r="AR31" s="9"/>
      <c r="AS31" s="8"/>
    </row>
    <row r="32" spans="1:45" s="7" customFormat="1" ht="21" customHeight="1" x14ac:dyDescent="0.2">
      <c r="A32" s="160">
        <v>855</v>
      </c>
      <c r="B32" s="161" t="s">
        <v>7</v>
      </c>
      <c r="C32" s="119">
        <v>0</v>
      </c>
      <c r="D32" s="189"/>
      <c r="E32" s="189"/>
      <c r="F32" s="189"/>
      <c r="G32" s="215">
        <v>2043</v>
      </c>
      <c r="H32" s="602">
        <v>2070</v>
      </c>
      <c r="I32" s="623"/>
      <c r="J32" s="189"/>
      <c r="K32" s="105">
        <f>H32*'DATOS REFERENCIALES'!$C$4</f>
        <v>19863.306</v>
      </c>
      <c r="L32" s="105"/>
      <c r="M32" s="105"/>
      <c r="N32" s="106">
        <f>LOOKUP(C32,'TABLA ANTIG.'!$A$4:$A$39,'TABLA ANTIG.'!$B$4:$B$39)*(K32)</f>
        <v>0</v>
      </c>
      <c r="O32" s="145">
        <f t="shared" si="13"/>
        <v>1986.3306000000002</v>
      </c>
      <c r="P32" s="105">
        <f>'DATOS REFERENCIALES'!$D$8</f>
        <v>12764</v>
      </c>
      <c r="Q32" s="106">
        <f>LOOKUP(C32,'TABLA ANTIG.'!$A$4:$A$39,'TABLA ANTIG.'!$B$4:$B$39)*(P32)</f>
        <v>0</v>
      </c>
      <c r="R32" s="149">
        <v>0</v>
      </c>
      <c r="S32" s="545">
        <f>IF(C32&gt;11,IF(H32&gt;2069,'DATOS REFERENCIALES'!$D$18,'DATOS REFERENCIALES'!$D$18/2070*H32),0)</f>
        <v>0</v>
      </c>
      <c r="T32" s="213">
        <f>K32+N32+O32+P32+Q32+R32+S32</f>
        <v>34613.636599999998</v>
      </c>
      <c r="U32" s="79">
        <f t="shared" si="14"/>
        <v>3807.5000259999997</v>
      </c>
      <c r="V32" s="79">
        <f t="shared" si="15"/>
        <v>1038.4090979999999</v>
      </c>
      <c r="W32" s="79">
        <f t="shared" si="15"/>
        <v>1038.4090979999999</v>
      </c>
      <c r="X32" s="79">
        <f t="shared" si="16"/>
        <v>692.27273200000002</v>
      </c>
      <c r="Y32" s="79">
        <f t="shared" si="17"/>
        <v>1557.6136469999999</v>
      </c>
      <c r="Z32" s="27">
        <f t="shared" si="18"/>
        <v>8134.2046010000004</v>
      </c>
      <c r="AA32" s="79">
        <f t="shared" si="19"/>
        <v>26479.431998999997</v>
      </c>
      <c r="AB32" s="93">
        <f>'DATOS REFERENCIALES'!$D$10</f>
        <v>4540</v>
      </c>
      <c r="AC32" s="545">
        <f>IF(C32&lt;12,IF(H32&gt;2069,'DATOS REFERENCIALES'!$D$17,'DATOS REFERENCIALES'!$D$17/2070*H32),0)</f>
        <v>5168</v>
      </c>
      <c r="AD32" s="79">
        <f>IF((IF(H32&gt;2069,('DATOS REFERENCIALES'!$D$9-(T32-U32-V32-W32-X32-Y32+AB32+AC32)),(('DATOS REFERENCIALES'!$D$9/2070)*H32)-(K32+N32+O32+P32+Q32+S32-U32-V32-W32-X32-Y32+AB32+AC32)))&lt;0,0,IF(H32&gt;2069,(('DATOS REFERENCIALES'!$D$9)-(T32-U32-V32-W32-X32-Y32+AB32+AC32)),(('DATOS REFERENCIALES'!$D$9/2070)*H32)-(K32+N32+O32+P32+Q32+S32-U32-V32-W32-X32-Y32+AB32+AC32)))</f>
        <v>20888.568001000007</v>
      </c>
      <c r="AE32" s="79">
        <f t="shared" si="20"/>
        <v>57076</v>
      </c>
      <c r="AF32" s="91">
        <f>'DATOS REFERENCIALES'!$D$13</f>
        <v>2420</v>
      </c>
      <c r="AG32" s="271"/>
      <c r="AH32" s="151" t="e">
        <f>IF($H32&gt;2042,'DATOS REFERENCIALES'!#REF!,'DATOS REFERENCIALES'!#REF!/2043*$H32)</f>
        <v>#REF!</v>
      </c>
      <c r="AI32" s="543">
        <f t="shared" si="21"/>
        <v>2420</v>
      </c>
      <c r="AJ32" s="147">
        <f>'DATOS REFERENCIALES'!$D$12</f>
        <v>420</v>
      </c>
      <c r="AK32" s="79">
        <f>+AE32+AF32+AI32+AJ32</f>
        <v>62336</v>
      </c>
      <c r="AL32" s="556">
        <f>'DATOS REFERENCIALES'!D16</f>
        <v>4044.61</v>
      </c>
      <c r="AM32" s="541">
        <f t="shared" si="22"/>
        <v>950.48334999999997</v>
      </c>
      <c r="AN32" s="541">
        <f t="shared" si="23"/>
        <v>3094.1266500000002</v>
      </c>
      <c r="AO32" s="561">
        <f>AK32+AN32</f>
        <v>65430.126649999998</v>
      </c>
      <c r="AP32" s="17"/>
      <c r="AQ32" s="17"/>
      <c r="AR32" s="9"/>
      <c r="AS32" s="8"/>
    </row>
    <row r="33" spans="1:45" s="7" customFormat="1" ht="23.25" customHeight="1" x14ac:dyDescent="0.2">
      <c r="A33" s="74">
        <v>856</v>
      </c>
      <c r="B33" s="101" t="s">
        <v>70</v>
      </c>
      <c r="C33" s="35">
        <v>0</v>
      </c>
      <c r="D33" s="37"/>
      <c r="E33" s="37"/>
      <c r="F33" s="37"/>
      <c r="G33" s="55">
        <v>2043</v>
      </c>
      <c r="H33" s="603">
        <v>2070</v>
      </c>
      <c r="I33" s="625"/>
      <c r="J33" s="37"/>
      <c r="K33" s="89">
        <f>H33*'DATOS REFERENCIALES'!$C$4</f>
        <v>19863.306</v>
      </c>
      <c r="L33" s="89"/>
      <c r="M33" s="89"/>
      <c r="N33" s="79">
        <f>LOOKUP(C33,'TABLA ANTIG.'!$A$4:$A$39,'TABLA ANTIG.'!$B$4:$B$39)*(K33)</f>
        <v>0</v>
      </c>
      <c r="O33" s="98">
        <f t="shared" si="13"/>
        <v>1986.3306000000002</v>
      </c>
      <c r="P33" s="89">
        <f>'DATOS REFERENCIALES'!$D$8</f>
        <v>12764</v>
      </c>
      <c r="Q33" s="79">
        <f>LOOKUP(C33,'TABLA ANTIG.'!$A$4:$A$39,'TABLA ANTIG.'!$B$4:$B$39)*(P33)</f>
        <v>0</v>
      </c>
      <c r="R33" s="147">
        <v>0</v>
      </c>
      <c r="S33" s="545">
        <f>IF(C33&gt;11,IF(H33&gt;2069,'DATOS REFERENCIALES'!$D$18,'DATOS REFERENCIALES'!$D$18/2070*H33),0)</f>
        <v>0</v>
      </c>
      <c r="T33" s="159">
        <f>K33+N33+O33+P33+Q33+R33+S33</f>
        <v>34613.636599999998</v>
      </c>
      <c r="U33" s="79">
        <f t="shared" si="14"/>
        <v>3807.5000259999997</v>
      </c>
      <c r="V33" s="79">
        <f t="shared" si="15"/>
        <v>1038.4090979999999</v>
      </c>
      <c r="W33" s="79">
        <f t="shared" si="15"/>
        <v>1038.4090979999999</v>
      </c>
      <c r="X33" s="79">
        <f t="shared" si="16"/>
        <v>692.27273200000002</v>
      </c>
      <c r="Y33" s="79">
        <f t="shared" si="17"/>
        <v>1557.6136469999999</v>
      </c>
      <c r="Z33" s="27">
        <f t="shared" si="18"/>
        <v>8134.2046010000004</v>
      </c>
      <c r="AA33" s="79">
        <f t="shared" si="19"/>
        <v>26479.431998999997</v>
      </c>
      <c r="AB33" s="93">
        <f>'DATOS REFERENCIALES'!$D$10</f>
        <v>4540</v>
      </c>
      <c r="AC33" s="545">
        <f>IF(C33&lt;12,IF(H33&gt;2069,'DATOS REFERENCIALES'!$D$17,'DATOS REFERENCIALES'!$D$17/2070*H33),0)</f>
        <v>5168</v>
      </c>
      <c r="AD33" s="79">
        <f>IF((IF(H33&gt;2069,('DATOS REFERENCIALES'!$D$9-(T33-U33-V33-W33-X33-Y33+AB33+AC33)),(('DATOS REFERENCIALES'!$D$9/2070)*H33)-(K33+N33+O33+P33+Q33+S33-U33-V33-W33-X33-Y33+AB33+AC33)))&lt;0,0,IF(H33&gt;2069,(('DATOS REFERENCIALES'!$D$9)-(T33-U33-V33-W33-X33-Y33+AB33+AC33)),(('DATOS REFERENCIALES'!$D$9/2070)*H33)-(K33+N33+O33+P33+Q33+S33-U33-V33-W33-X33-Y33+AB33+AC33)))</f>
        <v>20888.568001000007</v>
      </c>
      <c r="AE33" s="79">
        <f t="shared" si="20"/>
        <v>57076</v>
      </c>
      <c r="AF33" s="91">
        <f>'DATOS REFERENCIALES'!$D$13</f>
        <v>2420</v>
      </c>
      <c r="AG33" s="272"/>
      <c r="AH33" s="151" t="e">
        <f>IF($H32&gt;2042,'DATOS REFERENCIALES'!#REF!,'DATOS REFERENCIALES'!#REF!/2043*$H32)</f>
        <v>#REF!</v>
      </c>
      <c r="AI33" s="545">
        <f t="shared" si="21"/>
        <v>2420</v>
      </c>
      <c r="AJ33" s="147">
        <f>'DATOS REFERENCIALES'!$D$12</f>
        <v>420</v>
      </c>
      <c r="AK33" s="79">
        <f>+AE33+AF33+AI33+AJ33</f>
        <v>62336</v>
      </c>
      <c r="AL33" s="557">
        <f>'DATOS REFERENCIALES'!D16</f>
        <v>4044.61</v>
      </c>
      <c r="AM33" s="27">
        <f t="shared" si="22"/>
        <v>950.48334999999997</v>
      </c>
      <c r="AN33" s="27">
        <f t="shared" si="23"/>
        <v>3094.1266500000002</v>
      </c>
      <c r="AO33" s="559">
        <f>AK33+AN33</f>
        <v>65430.126649999998</v>
      </c>
      <c r="AP33" s="17"/>
      <c r="AQ33" s="17"/>
      <c r="AR33" s="9"/>
      <c r="AS33" s="8"/>
    </row>
    <row r="34" spans="1:45" s="1" customFormat="1" ht="24" customHeight="1" thickBot="1" x14ac:dyDescent="0.25">
      <c r="A34" s="75">
        <v>5566</v>
      </c>
      <c r="B34" s="102" t="s">
        <v>9</v>
      </c>
      <c r="C34" s="57">
        <v>0</v>
      </c>
      <c r="D34" s="24">
        <v>1</v>
      </c>
      <c r="E34" s="57"/>
      <c r="F34" s="57"/>
      <c r="G34" s="53">
        <v>56</v>
      </c>
      <c r="H34" s="57">
        <f t="shared" si="12"/>
        <v>56</v>
      </c>
      <c r="I34" s="57"/>
      <c r="J34" s="57"/>
      <c r="K34" s="90">
        <f>(H34*'DATOS REFERENCIALES'!$C$4)*D34</f>
        <v>537.36480000000006</v>
      </c>
      <c r="L34" s="90"/>
      <c r="M34" s="90"/>
      <c r="N34" s="80">
        <f>LOOKUP(C34,'TABLA ANTIG.'!$A$4:$A$39,'TABLA ANTIG.'!$B$4:$B$39)*(K34)</f>
        <v>0</v>
      </c>
      <c r="O34" s="28">
        <f t="shared" si="13"/>
        <v>53.736480000000007</v>
      </c>
      <c r="P34" s="90">
        <f>IF(D34&gt;48,'DATOS REFERENCIALES'!$D$8+('DATOS REFERENCIALES'!$F$8*10),IF(D34&lt;39,'DATOS REFERENCIALES'!$E$8*D34,((D34-'DATOS REFERENCIALES'!$I$8)*'DATOS REFERENCIALES'!$F$8)+'DATOS REFERENCIALES'!$D$8))</f>
        <v>335.89473684210526</v>
      </c>
      <c r="Q34" s="80">
        <f>LOOKUP(C34,'TABLA ANTIG.'!$A$4:$A$39,'TABLA ANTIG.'!$B$4:$B$39)*(P34)</f>
        <v>0</v>
      </c>
      <c r="R34" s="99">
        <v>0</v>
      </c>
      <c r="S34" s="551">
        <f>IF(C34&gt;11,IF(H34&gt;1134,'DATOS REFERENCIALES'!$C$18,'DATOS REFERENCIALES'!$C$18/20*D34),0)</f>
        <v>0</v>
      </c>
      <c r="T34" s="206">
        <f>K34+N34+O34+P34+Q34+R34+S34</f>
        <v>926.99601684210529</v>
      </c>
      <c r="U34" s="28">
        <f t="shared" si="14"/>
        <v>101.96956185263159</v>
      </c>
      <c r="V34" s="28">
        <f t="shared" si="15"/>
        <v>27.809880505263159</v>
      </c>
      <c r="W34" s="28">
        <f t="shared" si="15"/>
        <v>27.809880505263159</v>
      </c>
      <c r="X34" s="28">
        <f t="shared" si="16"/>
        <v>18.539920336842105</v>
      </c>
      <c r="Y34" s="28">
        <f t="shared" si="17"/>
        <v>41.714820757894735</v>
      </c>
      <c r="Z34" s="28">
        <f t="shared" si="18"/>
        <v>217.84406395789472</v>
      </c>
      <c r="AA34" s="80">
        <f t="shared" si="19"/>
        <v>709.15195288421057</v>
      </c>
      <c r="AB34" s="80">
        <f>IF(D34&gt;38,'DATOS REFERENCIALES'!$D$10,'DATOS REFERENCIALES'!$E$10*D34)</f>
        <v>119.47368421052632</v>
      </c>
      <c r="AC34" s="551">
        <f>IF(C34&lt;12,IF(H34&gt;1134,'DATOS REFERENCIALES'!$C$17,'DATOS REFERENCIALES'!$C$17/20*D34),0)</f>
        <v>129.19999999999999</v>
      </c>
      <c r="AD34" s="80">
        <f>IF(D34&gt;41,IF((('DATOS REFERENCIALES'!$D$9)-((T34)+(AB34)+(AC34)))&lt;0,0,((('DATOS REFERENCIALES'!$D$9)-((T34)-(Z34)+(AB34)+(AC34))))),IF((('DATOS REFERENCIALES'!$E$9*D34)-(((T34)+(AB34)+(AC34))))&lt;0,0,('DATOS REFERENCIALES'!$E$9*D34)-((T34)-(Z34)+(AB34)+(AC34))))</f>
        <v>469.07436290526311</v>
      </c>
      <c r="AE34" s="80">
        <f t="shared" si="20"/>
        <v>1426.9</v>
      </c>
      <c r="AF34" s="92">
        <f>IF(D34&gt;30,'DATOS REFERENCIALES'!$D$13,('DATOS REFERENCIALES'!$E$13*D34))</f>
        <v>80.666666666666671</v>
      </c>
      <c r="AG34" s="270"/>
      <c r="AH34" s="158" t="e">
        <f>IF(D21&gt;'DATOS REFERENCIALES'!#REF!,'DATOS REFERENCIALES'!#REF!,('DATOS REFERENCIALES'!#REF!*D21))</f>
        <v>#REF!</v>
      </c>
      <c r="AI34" s="551">
        <f t="shared" si="21"/>
        <v>80.666666666666671</v>
      </c>
      <c r="AJ34" s="150">
        <f>IF(D34&gt;'DATOS REFERENCIALES'!$I$12,'DATOS REFERENCIALES'!$D$12,'DATOS REFERENCIALES'!$E$12*D34)</f>
        <v>14</v>
      </c>
      <c r="AK34" s="80">
        <f>+AE34+AF34+AI34+AJ34</f>
        <v>1602.2333333333336</v>
      </c>
      <c r="AL34" s="558">
        <f>IF(D34&gt;'DATOS REFERENCIALES'!$I$16,'DATOS REFERENCIALES'!$D$16,'DATOS REFERENCIALES'!$E$16*D34)</f>
        <v>134.82033333333334</v>
      </c>
      <c r="AM34" s="28">
        <f t="shared" si="22"/>
        <v>31.682778333333331</v>
      </c>
      <c r="AN34" s="28">
        <f t="shared" si="23"/>
        <v>103.13755500000001</v>
      </c>
      <c r="AO34" s="560">
        <f>AK34+AN34</f>
        <v>1705.3708883333336</v>
      </c>
      <c r="AP34" s="17"/>
      <c r="AQ34" s="17"/>
    </row>
    <row r="35" spans="1:45" s="1" customFormat="1" ht="15" x14ac:dyDescent="0.2">
      <c r="A35" s="43"/>
      <c r="B35" s="96"/>
      <c r="C35" s="44"/>
      <c r="D35" s="44"/>
      <c r="E35" s="44"/>
      <c r="F35" s="44"/>
      <c r="G35" s="67"/>
      <c r="H35" s="44"/>
      <c r="I35" s="44"/>
      <c r="J35" s="44"/>
      <c r="K35" s="41"/>
      <c r="L35" s="41"/>
      <c r="M35" s="41"/>
      <c r="N35" s="42"/>
      <c r="O35" s="73"/>
      <c r="P35" s="41"/>
      <c r="Q35" s="42"/>
      <c r="R35" s="73"/>
      <c r="S35" s="73"/>
      <c r="T35" s="73"/>
      <c r="U35" s="73"/>
      <c r="V35" s="73"/>
      <c r="W35" s="73"/>
      <c r="X35" s="73"/>
      <c r="Y35" s="73"/>
      <c r="Z35" s="73"/>
      <c r="AA35" s="45"/>
      <c r="AB35" s="46"/>
      <c r="AC35" s="46"/>
      <c r="AD35" s="45"/>
      <c r="AE35" s="45"/>
      <c r="AF35" s="47"/>
      <c r="AG35" s="47"/>
      <c r="AH35" s="68"/>
      <c r="AI35" s="68"/>
      <c r="AJ35" s="68"/>
      <c r="AK35" s="45"/>
      <c r="AL35" s="554"/>
      <c r="AM35" s="16"/>
      <c r="AN35" s="17"/>
      <c r="AO35" s="16"/>
      <c r="AP35" s="17"/>
      <c r="AQ35" s="17"/>
    </row>
    <row r="36" spans="1:45" s="1" customFormat="1" ht="15.75" thickBot="1" x14ac:dyDescent="0.25">
      <c r="A36" s="43"/>
      <c r="B36" s="96"/>
      <c r="C36" s="44"/>
      <c r="D36" s="44"/>
      <c r="E36" s="44"/>
      <c r="F36" s="44"/>
      <c r="G36" s="67"/>
      <c r="H36" s="44"/>
      <c r="I36" s="44"/>
      <c r="J36" s="44"/>
      <c r="K36" s="41"/>
      <c r="L36" s="41"/>
      <c r="M36" s="41"/>
      <c r="N36" s="42"/>
      <c r="O36" s="73"/>
      <c r="P36" s="41"/>
      <c r="Q36" s="42"/>
      <c r="R36" s="73"/>
      <c r="S36" s="73"/>
      <c r="T36" s="73"/>
      <c r="U36" s="73"/>
      <c r="V36" s="73"/>
      <c r="W36" s="73"/>
      <c r="X36" s="73"/>
      <c r="Y36" s="73"/>
      <c r="Z36" s="73"/>
      <c r="AA36" s="45"/>
      <c r="AB36" s="46"/>
      <c r="AC36" s="46"/>
      <c r="AD36" s="45"/>
      <c r="AE36" s="45"/>
      <c r="AF36" s="47"/>
      <c r="AG36" s="47"/>
      <c r="AH36" s="68"/>
      <c r="AI36" s="68"/>
      <c r="AJ36" s="68"/>
      <c r="AK36" s="45"/>
      <c r="AL36" s="554"/>
      <c r="AM36" s="16"/>
      <c r="AN36" s="17"/>
      <c r="AO36" s="16"/>
      <c r="AP36" s="17"/>
      <c r="AQ36" s="17"/>
    </row>
    <row r="37" spans="1:45" s="1" customFormat="1" ht="21" thickBot="1" x14ac:dyDescent="0.35">
      <c r="A37" s="94" t="s">
        <v>130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4" t="s">
        <v>130</v>
      </c>
      <c r="AG37" s="95"/>
      <c r="AH37" s="95"/>
      <c r="AI37" s="95"/>
      <c r="AJ37" s="95"/>
      <c r="AK37" s="95"/>
      <c r="AL37" s="554"/>
      <c r="AM37" s="13"/>
      <c r="AN37" s="13"/>
      <c r="AO37" s="16"/>
      <c r="AP37" s="17"/>
      <c r="AQ37" s="17"/>
    </row>
    <row r="38" spans="1:45" s="2" customFormat="1" ht="33" customHeight="1" thickBot="1" x14ac:dyDescent="0.25">
      <c r="A38" s="730" t="s">
        <v>1</v>
      </c>
      <c r="B38" s="730" t="s">
        <v>0</v>
      </c>
      <c r="C38" s="658" t="s">
        <v>77</v>
      </c>
      <c r="D38" s="658" t="s">
        <v>119</v>
      </c>
      <c r="E38" s="658" t="s">
        <v>112</v>
      </c>
      <c r="F38" s="658" t="s">
        <v>113</v>
      </c>
      <c r="G38" s="658" t="s">
        <v>102</v>
      </c>
      <c r="H38" s="658" t="s">
        <v>79</v>
      </c>
      <c r="I38" s="658" t="s">
        <v>147</v>
      </c>
      <c r="J38" s="684" t="s">
        <v>146</v>
      </c>
      <c r="K38" s="684" t="s">
        <v>121</v>
      </c>
      <c r="L38" s="684" t="s">
        <v>145</v>
      </c>
      <c r="M38" s="684" t="s">
        <v>146</v>
      </c>
      <c r="N38" s="686" t="s">
        <v>85</v>
      </c>
      <c r="O38" s="686" t="s">
        <v>120</v>
      </c>
      <c r="P38" s="697" t="s">
        <v>86</v>
      </c>
      <c r="Q38" s="686" t="s">
        <v>101</v>
      </c>
      <c r="R38" s="686" t="s">
        <v>84</v>
      </c>
      <c r="S38" s="658" t="s">
        <v>209</v>
      </c>
      <c r="T38" s="686" t="s">
        <v>69</v>
      </c>
      <c r="U38" s="721" t="s">
        <v>59</v>
      </c>
      <c r="V38" s="722"/>
      <c r="W38" s="722"/>
      <c r="X38" s="722"/>
      <c r="Y38" s="723"/>
      <c r="Z38" s="696" t="s">
        <v>68</v>
      </c>
      <c r="AA38" s="658" t="s">
        <v>89</v>
      </c>
      <c r="AB38" s="658" t="s">
        <v>88</v>
      </c>
      <c r="AC38" s="658" t="s">
        <v>208</v>
      </c>
      <c r="AD38" s="658" t="s">
        <v>87</v>
      </c>
      <c r="AE38" s="658" t="s">
        <v>91</v>
      </c>
      <c r="AF38" s="658" t="s">
        <v>90</v>
      </c>
      <c r="AG38" s="658" t="s">
        <v>173</v>
      </c>
      <c r="AH38" s="658" t="s">
        <v>190</v>
      </c>
      <c r="AI38" s="658" t="s">
        <v>196</v>
      </c>
      <c r="AJ38" s="696" t="s">
        <v>144</v>
      </c>
      <c r="AK38" s="658" t="s">
        <v>92</v>
      </c>
      <c r="AL38" s="658" t="s">
        <v>186</v>
      </c>
      <c r="AM38" s="682" t="s">
        <v>68</v>
      </c>
      <c r="AN38" s="658" t="s">
        <v>188</v>
      </c>
      <c r="AO38" s="658" t="s">
        <v>189</v>
      </c>
      <c r="AP38" s="17"/>
      <c r="AQ38" s="17"/>
    </row>
    <row r="39" spans="1:45" s="2" customFormat="1" ht="89.25" customHeight="1" thickBot="1" x14ac:dyDescent="0.25">
      <c r="A39" s="731"/>
      <c r="B39" s="731"/>
      <c r="C39" s="679"/>
      <c r="D39" s="679"/>
      <c r="E39" s="679"/>
      <c r="F39" s="679"/>
      <c r="G39" s="679"/>
      <c r="H39" s="679"/>
      <c r="I39" s="679"/>
      <c r="J39" s="685"/>
      <c r="K39" s="685"/>
      <c r="L39" s="685"/>
      <c r="M39" s="685"/>
      <c r="N39" s="687"/>
      <c r="O39" s="687"/>
      <c r="P39" s="698"/>
      <c r="Q39" s="687"/>
      <c r="R39" s="687"/>
      <c r="S39" s="679"/>
      <c r="T39" s="687"/>
      <c r="U39" s="77" t="s">
        <v>140</v>
      </c>
      <c r="V39" s="104" t="s">
        <v>61</v>
      </c>
      <c r="W39" s="104" t="s">
        <v>62</v>
      </c>
      <c r="X39" s="104" t="s">
        <v>63</v>
      </c>
      <c r="Y39" s="104" t="s">
        <v>64</v>
      </c>
      <c r="Z39" s="720"/>
      <c r="AA39" s="679"/>
      <c r="AB39" s="679"/>
      <c r="AC39" s="659"/>
      <c r="AD39" s="679"/>
      <c r="AE39" s="679"/>
      <c r="AF39" s="679"/>
      <c r="AG39" s="679"/>
      <c r="AH39" s="679"/>
      <c r="AI39" s="659"/>
      <c r="AJ39" s="679"/>
      <c r="AK39" s="679"/>
      <c r="AL39" s="679"/>
      <c r="AM39" s="683"/>
      <c r="AN39" s="679"/>
      <c r="AO39" s="679"/>
      <c r="AP39" s="17"/>
      <c r="AQ39" s="17"/>
    </row>
    <row r="40" spans="1:45" s="1" customFormat="1" ht="21.75" customHeight="1" x14ac:dyDescent="0.2">
      <c r="A40" s="428">
        <v>578</v>
      </c>
      <c r="B40" s="406" t="s">
        <v>5</v>
      </c>
      <c r="C40" s="337">
        <v>0</v>
      </c>
      <c r="D40" s="337"/>
      <c r="E40" s="338"/>
      <c r="F40" s="339"/>
      <c r="G40" s="340">
        <v>1187</v>
      </c>
      <c r="H40" s="337">
        <f>SUM(G40:G40)</f>
        <v>1187</v>
      </c>
      <c r="I40" s="613"/>
      <c r="J40" s="337"/>
      <c r="K40" s="342">
        <f>H40*'DATOS REFERENCIALES'!$C$4</f>
        <v>11390.214600000001</v>
      </c>
      <c r="L40" s="342"/>
      <c r="M40" s="342"/>
      <c r="N40" s="344">
        <f>LOOKUP(C40,'TABLA ANTIG.'!$A$4:$A$39,'TABLA ANTIG.'!$B$4:$B$39)*(K40)</f>
        <v>0</v>
      </c>
      <c r="O40" s="344">
        <f>K40*0.1</f>
        <v>1139.0214600000002</v>
      </c>
      <c r="P40" s="342">
        <f>'DATOS REFERENCIALES'!$C$8</f>
        <v>6382</v>
      </c>
      <c r="Q40" s="344">
        <f>LOOKUP(C40,'TABLA ANTIG.'!$A$4:$A$39,'TABLA ANTIG.'!$B$4:$B$39)*(P40)</f>
        <v>0</v>
      </c>
      <c r="R40" s="343">
        <v>0</v>
      </c>
      <c r="S40" s="344">
        <f>IF(C40&gt;11,IF(H40&gt;1134,'DATOS REFERENCIALES'!$C$18,'DATOS REFERENCIALES'!$C$18/1135*H40),0)</f>
        <v>0</v>
      </c>
      <c r="T40" s="344">
        <f>K40+N40+O40+P40+Q40+R40+S40</f>
        <v>18911.236060000003</v>
      </c>
      <c r="U40" s="348">
        <f t="shared" ref="U40:U45" si="24">$T40*11%</f>
        <v>2080.2359666000002</v>
      </c>
      <c r="V40" s="344">
        <f t="shared" ref="V40:W45" si="25">$T40*3%</f>
        <v>567.33708180000008</v>
      </c>
      <c r="W40" s="344">
        <f t="shared" si="25"/>
        <v>567.33708180000008</v>
      </c>
      <c r="X40" s="344">
        <f t="shared" ref="X40:X45" si="26">$T40*2%</f>
        <v>378.22472120000009</v>
      </c>
      <c r="Y40" s="344">
        <f t="shared" ref="Y40:Y45" si="27">$T40*4.5%</f>
        <v>851.00562270000012</v>
      </c>
      <c r="Z40" s="344">
        <f t="shared" ref="Z40:Z45" si="28">SUM(U40:Y40)</f>
        <v>4444.1404741000015</v>
      </c>
      <c r="AA40" s="344">
        <f t="shared" ref="AA40:AA45" si="29">T40-Z40</f>
        <v>14467.095585900002</v>
      </c>
      <c r="AB40" s="344">
        <f>'DATOS REFERENCIALES'!$C$10</f>
        <v>2270</v>
      </c>
      <c r="AC40" s="347">
        <f>IF(C40&lt;12,IF(H40&gt;1134,'DATOS REFERENCIALES'!$C$17,'DATOS REFERENCIALES'!$C$17/1135*H40),0)</f>
        <v>2584</v>
      </c>
      <c r="AD40" s="422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9216.9044140999977</v>
      </c>
      <c r="AE40" s="344">
        <f t="shared" ref="AE40:AE45" si="30">SUM(AA40:AD40)</f>
        <v>28538</v>
      </c>
      <c r="AF40" s="349">
        <f>'DATOS REFERENCIALES'!$C$13</f>
        <v>1210</v>
      </c>
      <c r="AG40" s="370"/>
      <c r="AH40" s="348" t="e">
        <f>IF($H11&gt;1119,'DATOS REFERENCIALES'!#REF!,'DATOS REFERENCIALES'!#REF!/1120*$H11)</f>
        <v>#REF!</v>
      </c>
      <c r="AI40" s="343">
        <f>+AF40</f>
        <v>1210</v>
      </c>
      <c r="AJ40" s="347">
        <f>'DATOS REFERENCIALES'!$C$12</f>
        <v>210</v>
      </c>
      <c r="AK40" s="676">
        <f>+AE40+AE41+AF40+AI40+AJ40</f>
        <v>32941.267423939003</v>
      </c>
      <c r="AL40" s="660">
        <f>'DATOS REFERENCIALES'!C16</f>
        <v>2022.3050000000001</v>
      </c>
      <c r="AM40" s="676">
        <f t="shared" ref="AM40:AM45" si="31">AL40*$AM$8</f>
        <v>475.24167499999999</v>
      </c>
      <c r="AN40" s="676">
        <f>AL40-AM40</f>
        <v>1547.0633250000001</v>
      </c>
      <c r="AO40" s="674">
        <f>AK40+AN40</f>
        <v>34488.330748939006</v>
      </c>
      <c r="AP40" s="17"/>
      <c r="AQ40" s="17"/>
    </row>
    <row r="41" spans="1:45" s="1" customFormat="1" ht="24" customHeight="1" thickBot="1" x14ac:dyDescent="0.25">
      <c r="A41" s="429">
        <v>578</v>
      </c>
      <c r="B41" s="408" t="s">
        <v>5</v>
      </c>
      <c r="C41" s="352">
        <f>IF(C40&gt;0,C40,0)</f>
        <v>0</v>
      </c>
      <c r="D41" s="352"/>
      <c r="E41" s="353"/>
      <c r="F41" s="354"/>
      <c r="G41" s="355"/>
      <c r="H41" s="352"/>
      <c r="I41" s="614">
        <f>89.03/'DATOS REFERENCIALES'!$I$4*'DATOS REFERENCIALES'!$J$4</f>
        <v>148.38333333333333</v>
      </c>
      <c r="J41" s="430">
        <v>0.06</v>
      </c>
      <c r="K41" s="357"/>
      <c r="L41" s="357">
        <f>I41*'DATOS REFERENCIALES'!$C$4</f>
        <v>1423.85679</v>
      </c>
      <c r="M41" s="357">
        <f>K40*J41</f>
        <v>683.4128760000001</v>
      </c>
      <c r="N41" s="359">
        <f>LOOKUP(C41,'TABLA ANTIG.'!$A$4:$A$39,'TABLA ANTIG.'!$B$4:$B$39)*(L41+M41)</f>
        <v>0</v>
      </c>
      <c r="O41" s="359">
        <f>(L41+M41)*0.1</f>
        <v>210.72696660000003</v>
      </c>
      <c r="P41" s="357"/>
      <c r="Q41" s="359"/>
      <c r="R41" s="358"/>
      <c r="S41" s="359"/>
      <c r="T41" s="359">
        <f>L41+M41+N41+O41+P41+Q41+R41</f>
        <v>2317.9966326000003</v>
      </c>
      <c r="U41" s="358">
        <f t="shared" si="24"/>
        <v>254.97962958600004</v>
      </c>
      <c r="V41" s="359">
        <f t="shared" si="25"/>
        <v>69.539898978000011</v>
      </c>
      <c r="W41" s="362">
        <f t="shared" si="25"/>
        <v>69.539898978000011</v>
      </c>
      <c r="X41" s="359">
        <f t="shared" si="26"/>
        <v>46.359932652000005</v>
      </c>
      <c r="Y41" s="359">
        <f t="shared" si="27"/>
        <v>104.30984846700001</v>
      </c>
      <c r="Z41" s="359">
        <f t="shared" si="28"/>
        <v>544.72920866100003</v>
      </c>
      <c r="AA41" s="363">
        <f t="shared" si="29"/>
        <v>1773.2674239390003</v>
      </c>
      <c r="AB41" s="359"/>
      <c r="AC41" s="359"/>
      <c r="AD41" s="359"/>
      <c r="AE41" s="358">
        <f t="shared" si="30"/>
        <v>1773.2674239390003</v>
      </c>
      <c r="AF41" s="364"/>
      <c r="AG41" s="376"/>
      <c r="AH41" s="358"/>
      <c r="AI41" s="358"/>
      <c r="AJ41" s="359"/>
      <c r="AK41" s="677"/>
      <c r="AL41" s="661"/>
      <c r="AM41" s="677"/>
      <c r="AN41" s="677"/>
      <c r="AO41" s="675"/>
      <c r="AP41" s="17"/>
      <c r="AQ41" s="17"/>
    </row>
    <row r="42" spans="1:45" s="1" customFormat="1" ht="22.5" customHeight="1" x14ac:dyDescent="0.2">
      <c r="A42" s="431">
        <v>854</v>
      </c>
      <c r="B42" s="275" t="s">
        <v>4</v>
      </c>
      <c r="C42" s="276">
        <v>0</v>
      </c>
      <c r="D42" s="276"/>
      <c r="E42" s="325"/>
      <c r="F42" s="326"/>
      <c r="G42" s="327">
        <v>960</v>
      </c>
      <c r="H42" s="276">
        <f>SUM(G42:G42)</f>
        <v>960</v>
      </c>
      <c r="I42" s="615"/>
      <c r="J42" s="276"/>
      <c r="K42" s="278">
        <f>H42*'DATOS REFERENCIALES'!$C$4</f>
        <v>9211.9680000000008</v>
      </c>
      <c r="L42" s="278"/>
      <c r="M42" s="278"/>
      <c r="N42" s="280">
        <f>LOOKUP(C42,'TABLA ANTIG.'!$A$4:$A$39,'TABLA ANTIG.'!$B$4:$B$39)*(K42)</f>
        <v>0</v>
      </c>
      <c r="O42" s="280">
        <f>K42*0.1</f>
        <v>921.19680000000017</v>
      </c>
      <c r="P42" s="278">
        <f>'DATOS REFERENCIALES'!$C$8</f>
        <v>6382</v>
      </c>
      <c r="Q42" s="280">
        <f>LOOKUP(C42,'TABLA ANTIG.'!$A$4:$A$39,'TABLA ANTIG.'!$B$4:$B$39)*(P42)</f>
        <v>0</v>
      </c>
      <c r="R42" s="284">
        <v>0</v>
      </c>
      <c r="S42" s="280">
        <f>IF(C42&gt;11,IF(H42&gt;1134,'DATOS REFERENCIALES'!$C$18,'DATOS REFERENCIALES'!$C$18/1135*H42),0)</f>
        <v>0</v>
      </c>
      <c r="T42" s="280">
        <f>K42+N42+O42+P42+Q42+R42+S42</f>
        <v>16515.164799999999</v>
      </c>
      <c r="U42" s="282">
        <f t="shared" si="24"/>
        <v>1816.6681279999998</v>
      </c>
      <c r="V42" s="280">
        <f t="shared" si="25"/>
        <v>495.45494399999995</v>
      </c>
      <c r="W42" s="280">
        <f t="shared" si="25"/>
        <v>495.45494399999995</v>
      </c>
      <c r="X42" s="280">
        <f t="shared" si="26"/>
        <v>330.30329599999999</v>
      </c>
      <c r="Y42" s="280">
        <f t="shared" si="27"/>
        <v>743.18241599999988</v>
      </c>
      <c r="Z42" s="280">
        <f t="shared" si="28"/>
        <v>3881.0637280000001</v>
      </c>
      <c r="AA42" s="280">
        <f t="shared" si="29"/>
        <v>12634.101071999998</v>
      </c>
      <c r="AB42" s="280">
        <f>'DATOS REFERENCIALES'!$C$10</f>
        <v>2270</v>
      </c>
      <c r="AC42" s="283">
        <f>IF(C42&lt;12,IF(H42&gt;1134,'DATOS REFERENCIALES'!$C$17,'DATOS REFERENCIALES'!$C$17/1135*H42),0)</f>
        <v>2185.5859030837005</v>
      </c>
      <c r="AD42" s="415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7048.1808663259872</v>
      </c>
      <c r="AE42" s="280">
        <f t="shared" si="30"/>
        <v>24137.867841409687</v>
      </c>
      <c r="AF42" s="285">
        <f>'DATOS REFERENCIALES'!$C$13</f>
        <v>1210</v>
      </c>
      <c r="AG42" s="399"/>
      <c r="AH42" s="282" t="e">
        <f>IF($H11&gt;1119,'DATOS REFERENCIALES'!#REF!,'DATOS REFERENCIALES'!#REF!/1120*$H11)</f>
        <v>#REF!</v>
      </c>
      <c r="AI42" s="284">
        <f>+AF42</f>
        <v>1210</v>
      </c>
      <c r="AJ42" s="283">
        <f>'DATOS REFERENCIALES'!$C$12</f>
        <v>210</v>
      </c>
      <c r="AK42" s="664">
        <f>+AE42+AE43+AF42+AI42+AJ42</f>
        <v>27736.851725409688</v>
      </c>
      <c r="AL42" s="662">
        <f>'DATOS REFERENCIALES'!C16</f>
        <v>2022.3050000000001</v>
      </c>
      <c r="AM42" s="664">
        <f t="shared" si="31"/>
        <v>475.24167499999999</v>
      </c>
      <c r="AN42" s="664">
        <f>AL42-AM42</f>
        <v>1547.0633250000001</v>
      </c>
      <c r="AO42" s="666">
        <f>AK42+AN42</f>
        <v>29283.915050409687</v>
      </c>
      <c r="AP42" s="17"/>
      <c r="AQ42" s="17"/>
    </row>
    <row r="43" spans="1:45" s="1" customFormat="1" ht="22.5" customHeight="1" thickBot="1" x14ac:dyDescent="0.25">
      <c r="A43" s="432">
        <v>854</v>
      </c>
      <c r="B43" s="417" t="s">
        <v>4</v>
      </c>
      <c r="C43" s="288">
        <f>IF(C42&gt;0,C42,0)</f>
        <v>0</v>
      </c>
      <c r="D43" s="328"/>
      <c r="E43" s="329"/>
      <c r="F43" s="330"/>
      <c r="G43" s="331"/>
      <c r="H43" s="328"/>
      <c r="I43" s="621">
        <f>72/'DATOS REFERENCIALES'!$I$4*'DATOS REFERENCIALES'!$J$4</f>
        <v>120</v>
      </c>
      <c r="J43" s="419"/>
      <c r="K43" s="332"/>
      <c r="L43" s="332">
        <f>I43*'DATOS REFERENCIALES'!$C$4</f>
        <v>1151.4960000000001</v>
      </c>
      <c r="M43" s="332"/>
      <c r="N43" s="299">
        <f>LOOKUP(C43,'TABLA ANTIG.'!$A$4:$A$39,'TABLA ANTIG.'!$B$4:$B$39)*(L43+M43)</f>
        <v>0</v>
      </c>
      <c r="O43" s="299">
        <f>(L43+M43)*0.1</f>
        <v>115.14960000000002</v>
      </c>
      <c r="P43" s="332"/>
      <c r="Q43" s="299"/>
      <c r="R43" s="297"/>
      <c r="S43" s="333"/>
      <c r="T43" s="299">
        <f>L43+M43+N43+O43+P43+Q43+R43</f>
        <v>1266.6456000000001</v>
      </c>
      <c r="U43" s="297">
        <f t="shared" si="24"/>
        <v>139.33101600000001</v>
      </c>
      <c r="V43" s="299">
        <f t="shared" si="25"/>
        <v>37.999367999999997</v>
      </c>
      <c r="W43" s="333">
        <f t="shared" si="25"/>
        <v>37.999367999999997</v>
      </c>
      <c r="X43" s="299">
        <f t="shared" si="26"/>
        <v>25.332912</v>
      </c>
      <c r="Y43" s="299">
        <f t="shared" si="27"/>
        <v>56.999051999999999</v>
      </c>
      <c r="Z43" s="299">
        <f t="shared" si="28"/>
        <v>297.66171600000001</v>
      </c>
      <c r="AA43" s="334">
        <f t="shared" si="29"/>
        <v>968.98388399999999</v>
      </c>
      <c r="AB43" s="299"/>
      <c r="AC43" s="299"/>
      <c r="AD43" s="299"/>
      <c r="AE43" s="297">
        <f t="shared" si="30"/>
        <v>968.98388399999999</v>
      </c>
      <c r="AF43" s="526"/>
      <c r="AG43" s="433"/>
      <c r="AH43" s="297"/>
      <c r="AI43" s="297"/>
      <c r="AJ43" s="299"/>
      <c r="AK43" s="665"/>
      <c r="AL43" s="714"/>
      <c r="AM43" s="715"/>
      <c r="AN43" s="715"/>
      <c r="AO43" s="716"/>
      <c r="AP43" s="17"/>
      <c r="AQ43" s="17"/>
    </row>
    <row r="44" spans="1:45" s="1" customFormat="1" ht="22.5" customHeight="1" x14ac:dyDescent="0.2">
      <c r="A44" s="220">
        <v>577</v>
      </c>
      <c r="B44" s="161" t="s">
        <v>10</v>
      </c>
      <c r="C44" s="119">
        <v>0</v>
      </c>
      <c r="D44" s="189">
        <v>0</v>
      </c>
      <c r="E44" s="221"/>
      <c r="F44" s="189"/>
      <c r="G44" s="217">
        <v>829.75</v>
      </c>
      <c r="H44" s="189">
        <f>SUM(G44:G44)</f>
        <v>829.75</v>
      </c>
      <c r="I44" s="189"/>
      <c r="J44" s="189"/>
      <c r="K44" s="105">
        <f>H44*'DATOS REFERENCIALES'!$C$4</f>
        <v>7962.1150500000003</v>
      </c>
      <c r="L44" s="105"/>
      <c r="M44" s="105"/>
      <c r="N44" s="106">
        <f>LOOKUP(C44,'TABLA ANTIG.'!$A$4:$A$39,'TABLA ANTIG.'!$B$4:$B$39)*(K44)</f>
        <v>0</v>
      </c>
      <c r="O44" s="113">
        <f>K44*0.1</f>
        <v>796.2115050000001</v>
      </c>
      <c r="P44" s="105">
        <f>'DATOS REFERENCIALES'!$C$8</f>
        <v>6382</v>
      </c>
      <c r="Q44" s="106">
        <f>LOOKUP(C44,'TABLA ANTIG.'!$A$4:$A$39,'TABLA ANTIG.'!$B$4:$B$39)*(P44)</f>
        <v>0</v>
      </c>
      <c r="R44" s="222">
        <v>0</v>
      </c>
      <c r="S44" s="545">
        <f>IF(C44&gt;11,IF(H44&gt;1134,'DATOS REFERENCIALES'!$C$18,'DATOS REFERENCIALES'!$C$18/1135*H44),0)</f>
        <v>0</v>
      </c>
      <c r="T44" s="113">
        <f>K44+N44+O44+P44+Q44+R44+S44</f>
        <v>15140.326555</v>
      </c>
      <c r="U44" s="213">
        <f t="shared" si="24"/>
        <v>1665.4359210499999</v>
      </c>
      <c r="V44" s="113">
        <f t="shared" si="25"/>
        <v>454.20979664999999</v>
      </c>
      <c r="W44" s="113">
        <f t="shared" si="25"/>
        <v>454.20979664999999</v>
      </c>
      <c r="X44" s="113">
        <f t="shared" si="26"/>
        <v>302.80653109999997</v>
      </c>
      <c r="Y44" s="113">
        <f t="shared" si="27"/>
        <v>681.31469497499995</v>
      </c>
      <c r="Z44" s="113">
        <f t="shared" si="28"/>
        <v>3557.9767404249997</v>
      </c>
      <c r="AA44" s="106">
        <f t="shared" si="29"/>
        <v>11582.349814575</v>
      </c>
      <c r="AB44" s="106">
        <f>'DATOS REFERENCIALES'!$C$10</f>
        <v>2270</v>
      </c>
      <c r="AC44" s="545">
        <f>IF(C44&lt;12,IF(H44&gt;1134,'DATOS REFERENCIALES'!$C$17,'DATOS REFERENCIALES'!$C$17/1135*H44),0)</f>
        <v>1889.0519823788545</v>
      </c>
      <c r="AD44" s="79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5121.5105378479111</v>
      </c>
      <c r="AE44" s="106">
        <f t="shared" si="30"/>
        <v>20862.912334801767</v>
      </c>
      <c r="AF44" s="527">
        <f>'DATOS REFERENCIALES'!$C$13</f>
        <v>1210</v>
      </c>
      <c r="AG44" s="269"/>
      <c r="AH44" s="146" t="e">
        <f>IF($H44&gt;1119,'DATOS REFERENCIALES'!#REF!,'DATOS REFERENCIALES'!#REF!/1120*$H44)</f>
        <v>#REF!</v>
      </c>
      <c r="AI44" s="205">
        <f>+AF44</f>
        <v>1210</v>
      </c>
      <c r="AJ44" s="149">
        <f>'DATOS REFERENCIALES'!$C$12</f>
        <v>210</v>
      </c>
      <c r="AK44" s="149">
        <f>+AE44+AF44+AI44+AJ44</f>
        <v>23492.912334801767</v>
      </c>
      <c r="AL44" s="556">
        <f>'DATOS REFERENCIALES'!C16</f>
        <v>2022.3050000000001</v>
      </c>
      <c r="AM44" s="541">
        <f t="shared" si="31"/>
        <v>475.24167499999999</v>
      </c>
      <c r="AN44" s="541">
        <f>AL44-AM44</f>
        <v>1547.0633250000001</v>
      </c>
      <c r="AO44" s="572">
        <f>AK44+AN44</f>
        <v>25039.975659801767</v>
      </c>
      <c r="AP44" s="17"/>
      <c r="AQ44" s="17"/>
    </row>
    <row r="45" spans="1:45" s="33" customFormat="1" ht="28.5" customHeight="1" thickBot="1" x14ac:dyDescent="0.25">
      <c r="A45" s="219">
        <v>5568</v>
      </c>
      <c r="B45" s="102" t="s">
        <v>9</v>
      </c>
      <c r="C45" s="57">
        <v>0</v>
      </c>
      <c r="D45" s="24">
        <v>1</v>
      </c>
      <c r="E45" s="209"/>
      <c r="F45" s="57"/>
      <c r="G45" s="211">
        <v>56</v>
      </c>
      <c r="H45" s="57">
        <f>SUM(G45:G45)</f>
        <v>56</v>
      </c>
      <c r="I45" s="57"/>
      <c r="J45" s="57"/>
      <c r="K45" s="90">
        <f>(H45*'DATOS REFERENCIALES'!$C$4)*D45</f>
        <v>537.36480000000006</v>
      </c>
      <c r="L45" s="90"/>
      <c r="M45" s="90"/>
      <c r="N45" s="80">
        <f>LOOKUP(C45,'TABLA ANTIG.'!$A$4:$A$39,'TABLA ANTIG.'!$B$4:$B$39)*(K45)</f>
        <v>0</v>
      </c>
      <c r="O45" s="28">
        <f>K45*0.1</f>
        <v>53.736480000000007</v>
      </c>
      <c r="P45" s="90">
        <f>IF(D45&gt;48,'DATOS REFERENCIALES'!$D$8+('DATOS REFERENCIALES'!$F$8*10),IF(D45&lt;39,'DATOS REFERENCIALES'!$E$8*D45,((D45-'DATOS REFERENCIALES'!$I$8)*'DATOS REFERENCIALES'!$F$8)+'DATOS REFERENCIALES'!$D$8))</f>
        <v>335.89473684210526</v>
      </c>
      <c r="Q45" s="80">
        <f>LOOKUP(C45,'TABLA ANTIG.'!$A$4:$A$39,'TABLA ANTIG.'!$B$4:$B$39)*(P45)</f>
        <v>0</v>
      </c>
      <c r="R45" s="212">
        <v>0</v>
      </c>
      <c r="S45" s="551">
        <f>IF(C45&gt;11,IF(H45&gt;1134,'DATOS REFERENCIALES'!$C$18,'DATOS REFERENCIALES'!$C$18/20*D45),0)</f>
        <v>0</v>
      </c>
      <c r="T45" s="28">
        <f>K45+N45+O45+P45+Q45+R45+S45</f>
        <v>926.99601684210529</v>
      </c>
      <c r="U45" s="206">
        <f t="shared" si="24"/>
        <v>101.96956185263159</v>
      </c>
      <c r="V45" s="28">
        <f t="shared" si="25"/>
        <v>27.809880505263159</v>
      </c>
      <c r="W45" s="28">
        <f t="shared" si="25"/>
        <v>27.809880505263159</v>
      </c>
      <c r="X45" s="28">
        <f t="shared" si="26"/>
        <v>18.539920336842105</v>
      </c>
      <c r="Y45" s="28">
        <f t="shared" si="27"/>
        <v>41.714820757894735</v>
      </c>
      <c r="Z45" s="28">
        <f t="shared" si="28"/>
        <v>217.84406395789472</v>
      </c>
      <c r="AA45" s="80">
        <f t="shared" si="29"/>
        <v>709.15195288421057</v>
      </c>
      <c r="AB45" s="80">
        <f>IF(D45&gt;38,'DATOS REFERENCIALES'!$D$10,'DATOS REFERENCIALES'!$E$10*D45)</f>
        <v>119.47368421052632</v>
      </c>
      <c r="AC45" s="551">
        <f>IF(C45&lt;12,IF(H45&gt;1134,'DATOS REFERENCIALES'!$C$17,'DATOS REFERENCIALES'!$C$17/20*D45),0)</f>
        <v>129.19999999999999</v>
      </c>
      <c r="AD45" s="80">
        <f>IF(D45&gt;41,IF((('DATOS REFERENCIALES'!$D$9)-((T45)+(AB45)+(AC45)))&lt;0,0,((('DATOS REFERENCIALES'!$D$9)-((T45)-(Z45)+(AB45)+(AC45))))),IF((('DATOS REFERENCIALES'!$E$9*D45)-(((T45)+(AB45)+(AC45))))&lt;0,0,('DATOS REFERENCIALES'!$E$9*D45)-((T45)-(Z45)+(AB45)+(AC45))))</f>
        <v>469.07436290526311</v>
      </c>
      <c r="AE45" s="80">
        <f t="shared" si="30"/>
        <v>1426.9</v>
      </c>
      <c r="AF45" s="92">
        <f>IF(D45&gt;30,'DATOS REFERENCIALES'!$D$13,('DATOS REFERENCIALES'!$E$13*D45))</f>
        <v>80.666666666666671</v>
      </c>
      <c r="AG45" s="270"/>
      <c r="AH45" s="158" t="e">
        <f>IF(D45&gt;'DATOS REFERENCIALES'!#REF!,'DATOS REFERENCIALES'!#REF!,('DATOS REFERENCIALES'!#REF!*D45))</f>
        <v>#REF!</v>
      </c>
      <c r="AI45" s="158">
        <f>+AF45</f>
        <v>80.666666666666671</v>
      </c>
      <c r="AJ45" s="150">
        <f>IF(D45&gt;'DATOS REFERENCIALES'!$I$12,'DATOS REFERENCIALES'!$D$12,'DATOS REFERENCIALES'!$E$12*D45)</f>
        <v>14</v>
      </c>
      <c r="AK45" s="150">
        <f>+AE45+AF45+AI45+AJ45</f>
        <v>1602.2333333333336</v>
      </c>
      <c r="AL45" s="558">
        <f>IF(D45&gt;'DATOS REFERENCIALES'!$I$16,'DATOS REFERENCIALES'!$D$16,'DATOS REFERENCIALES'!$E$16*D45)</f>
        <v>134.82033333333334</v>
      </c>
      <c r="AM45" s="28">
        <f t="shared" si="31"/>
        <v>31.682778333333331</v>
      </c>
      <c r="AN45" s="28">
        <f>AL45-AM45</f>
        <v>103.13755500000001</v>
      </c>
      <c r="AO45" s="573">
        <f>AK45+AN45</f>
        <v>1705.3708883333336</v>
      </c>
      <c r="AP45" s="32"/>
      <c r="AQ45" s="32"/>
    </row>
  </sheetData>
  <mergeCells count="155">
    <mergeCell ref="K3:AA5"/>
    <mergeCell ref="A6:AK6"/>
    <mergeCell ref="A7:AK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E8:AK8"/>
    <mergeCell ref="D9:D10"/>
    <mergeCell ref="L9:L10"/>
    <mergeCell ref="P24:P25"/>
    <mergeCell ref="F24:F25"/>
    <mergeCell ref="AK24:AK25"/>
    <mergeCell ref="P9:P10"/>
    <mergeCell ref="R9:R10"/>
    <mergeCell ref="B24:B25"/>
    <mergeCell ref="AK40:AK41"/>
    <mergeCell ref="E38:E39"/>
    <mergeCell ref="F38:F39"/>
    <mergeCell ref="O38:O39"/>
    <mergeCell ref="AD38:AD39"/>
    <mergeCell ref="AK42:AK43"/>
    <mergeCell ref="AK11:AK12"/>
    <mergeCell ref="AK13:AK14"/>
    <mergeCell ref="AK15:AK16"/>
    <mergeCell ref="AK26:AK27"/>
    <mergeCell ref="AK28:AK29"/>
    <mergeCell ref="AK38:AK39"/>
    <mergeCell ref="AK30:AK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AG24:AG25"/>
    <mergeCell ref="AG38:AG39"/>
    <mergeCell ref="AF24:AF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O15:AO16"/>
    <mergeCell ref="AL26:AL27"/>
    <mergeCell ref="AM26:AM27"/>
    <mergeCell ref="AN26:AN27"/>
    <mergeCell ref="AO26:AO27"/>
    <mergeCell ref="AL24:AL25"/>
    <mergeCell ref="AN11:AN12"/>
    <mergeCell ref="AO11:AO12"/>
    <mergeCell ref="AL13:AL14"/>
    <mergeCell ref="AM13:AM14"/>
    <mergeCell ref="AN13:AN14"/>
    <mergeCell ref="AO13:AO14"/>
    <mergeCell ref="AL15:AL16"/>
    <mergeCell ref="AM15:AM16"/>
    <mergeCell ref="AN15:AN16"/>
    <mergeCell ref="AM24:AM25"/>
    <mergeCell ref="AN24:AN25"/>
    <mergeCell ref="AO40:AO41"/>
    <mergeCell ref="AL42:AL43"/>
    <mergeCell ref="AM42:AM43"/>
    <mergeCell ref="AN42:AN43"/>
    <mergeCell ref="AO42:AO43"/>
    <mergeCell ref="AL38:AL39"/>
    <mergeCell ref="AM38:AM39"/>
    <mergeCell ref="AN38:AN39"/>
    <mergeCell ref="AO9:AO10"/>
    <mergeCell ref="AO24:AO25"/>
    <mergeCell ref="AO38:AO39"/>
    <mergeCell ref="AL11:AL12"/>
    <mergeCell ref="AM11:AM12"/>
    <mergeCell ref="AL28:AL29"/>
    <mergeCell ref="AM28:AM29"/>
    <mergeCell ref="AN28:AN29"/>
    <mergeCell ref="AO28:AO29"/>
    <mergeCell ref="AL30:AL31"/>
    <mergeCell ref="AM30:AM31"/>
    <mergeCell ref="AN30:AN31"/>
    <mergeCell ref="AO30:AO31"/>
    <mergeCell ref="AL9:AL10"/>
    <mergeCell ref="AM9:AM10"/>
    <mergeCell ref="AN9:AN10"/>
    <mergeCell ref="AC24:AC25"/>
    <mergeCell ref="AC9:AC10"/>
    <mergeCell ref="AC38:AC39"/>
    <mergeCell ref="AI9:AI10"/>
    <mergeCell ref="AI24:AI25"/>
    <mergeCell ref="AI38:AI39"/>
    <mergeCell ref="AL40:AL41"/>
    <mergeCell ref="AM40:AM41"/>
    <mergeCell ref="AN40:AN41"/>
    <mergeCell ref="AK9:AK10"/>
    <mergeCell ref="AD24:AD25"/>
    <mergeCell ref="AD9:AD10"/>
    <mergeCell ref="AF9:AF10"/>
    <mergeCell ref="AH38:AH39"/>
    <mergeCell ref="AE9:AE10"/>
    <mergeCell ref="AF38:AF39"/>
    <mergeCell ref="AE24:AE25"/>
    <mergeCell ref="AE38:AE39"/>
    <mergeCell ref="AJ9:AJ10"/>
    <mergeCell ref="AJ24:AJ25"/>
    <mergeCell ref="AJ38:AJ39"/>
    <mergeCell ref="AH9:AH10"/>
    <mergeCell ref="AH24:AH25"/>
    <mergeCell ref="AG9:AG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'DATOS REFERENCIALES'!$C$31:$C$38</xm:f>
          </x14:formula1>
          <xm:sqref>J27</xm:sqref>
        </x14:dataValidation>
        <x14:dataValidation type="list" allowBlank="1" showInputMessage="1" showErrorMessage="1">
          <x14:formula1>
            <xm:f>'DATOS REFERENCIALES'!$C$31:$C$38</xm:f>
          </x14:formula1>
          <xm:sqref>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U43"/>
  <sheetViews>
    <sheetView zoomScale="66" zoomScaleNormal="66" workbookViewId="0">
      <selection activeCell="B12" sqref="B12"/>
    </sheetView>
  </sheetViews>
  <sheetFormatPr baseColWidth="10" defaultRowHeight="12.75" x14ac:dyDescent="0.2"/>
  <cols>
    <col min="1" max="1" width="11.5703125" bestFit="1" customWidth="1"/>
    <col min="2" max="2" width="48.85546875" customWidth="1"/>
    <col min="3" max="3" width="11.5703125" bestFit="1" customWidth="1"/>
    <col min="5" max="5" width="13" hidden="1" customWidth="1"/>
    <col min="6" max="6" width="0" hidden="1" customWidth="1"/>
    <col min="7" max="7" width="11.5703125" hidden="1" customWidth="1"/>
    <col min="8" max="8" width="11.5703125" bestFit="1" customWidth="1"/>
    <col min="9" max="10" width="14" customWidth="1"/>
    <col min="11" max="11" width="14.85546875" bestFit="1" customWidth="1"/>
    <col min="12" max="12" width="14.7109375" customWidth="1"/>
    <col min="13" max="13" width="14.85546875" customWidth="1"/>
    <col min="14" max="14" width="18" customWidth="1"/>
    <col min="15" max="15" width="18.42578125" customWidth="1"/>
    <col min="16" max="16" width="14.28515625" customWidth="1"/>
    <col min="17" max="17" width="16.5703125" customWidth="1"/>
    <col min="18" max="19" width="14" customWidth="1"/>
    <col min="20" max="20" width="15.5703125" customWidth="1"/>
    <col min="21" max="21" width="13.7109375" customWidth="1"/>
    <col min="22" max="22" width="13.5703125" customWidth="1"/>
    <col min="23" max="23" width="13.28515625" customWidth="1"/>
    <col min="24" max="24" width="14.140625" customWidth="1"/>
    <col min="25" max="25" width="13.42578125" customWidth="1"/>
    <col min="26" max="26" width="14.85546875" customWidth="1"/>
    <col min="27" max="27" width="15" customWidth="1"/>
    <col min="28" max="28" width="14.140625" customWidth="1"/>
    <col min="29" max="29" width="15.28515625" customWidth="1"/>
    <col min="30" max="30" width="14.7109375" customWidth="1"/>
    <col min="31" max="31" width="15.85546875" customWidth="1"/>
    <col min="32" max="32" width="15" customWidth="1"/>
    <col min="33" max="33" width="16.7109375" hidden="1" customWidth="1"/>
    <col min="34" max="34" width="15.5703125" hidden="1" customWidth="1"/>
    <col min="35" max="35" width="15.5703125" customWidth="1"/>
    <col min="36" max="36" width="14.7109375" customWidth="1"/>
    <col min="37" max="37" width="18.5703125" customWidth="1"/>
    <col min="41" max="41" width="16" customWidth="1"/>
  </cols>
  <sheetData>
    <row r="1" spans="1:47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8"/>
      <c r="AD1" s="13"/>
      <c r="AE1" s="13"/>
      <c r="AF1" s="13"/>
      <c r="AG1" s="13"/>
      <c r="AH1" s="13"/>
      <c r="AI1" s="608"/>
      <c r="AJ1" s="13"/>
      <c r="AK1" s="13"/>
      <c r="AL1" s="13"/>
      <c r="AM1" s="13"/>
      <c r="AN1" s="13"/>
      <c r="AO1" s="13"/>
    </row>
    <row r="2" spans="1:47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8"/>
      <c r="AD2" s="13"/>
      <c r="AE2" s="13"/>
      <c r="AF2" s="13"/>
      <c r="AG2" s="13"/>
      <c r="AH2" s="13"/>
      <c r="AI2" s="608"/>
      <c r="AJ2" s="13"/>
      <c r="AK2" s="13"/>
      <c r="AL2" s="13"/>
      <c r="AM2" s="13"/>
      <c r="AN2" s="13"/>
      <c r="AO2" s="13"/>
    </row>
    <row r="3" spans="1:47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702" t="s">
        <v>82</v>
      </c>
      <c r="L3" s="702"/>
      <c r="M3" s="702"/>
      <c r="N3" s="702"/>
      <c r="O3" s="702"/>
      <c r="P3" s="702"/>
      <c r="Q3" s="702"/>
      <c r="R3" s="702"/>
      <c r="S3" s="702"/>
      <c r="T3" s="702"/>
      <c r="U3" s="702"/>
      <c r="V3" s="702"/>
      <c r="W3" s="702"/>
      <c r="X3" s="702"/>
      <c r="Y3" s="702"/>
      <c r="Z3" s="702"/>
      <c r="AA3" s="702"/>
      <c r="AB3" s="13"/>
      <c r="AC3" s="608"/>
      <c r="AD3" s="13"/>
      <c r="AE3" s="13"/>
      <c r="AF3" s="13"/>
      <c r="AG3" s="13"/>
      <c r="AH3" s="13"/>
      <c r="AI3" s="608"/>
      <c r="AJ3" s="13"/>
      <c r="AK3" s="13"/>
      <c r="AL3" s="13"/>
      <c r="AM3" s="13"/>
      <c r="AN3" s="13"/>
      <c r="AO3" s="13"/>
    </row>
    <row r="4" spans="1:47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13"/>
      <c r="AC4" s="608"/>
      <c r="AD4" s="13"/>
      <c r="AE4" s="13"/>
      <c r="AF4" s="13"/>
      <c r="AG4" s="13"/>
      <c r="AH4" s="13"/>
      <c r="AI4" s="608"/>
      <c r="AJ4" s="13"/>
      <c r="AK4" s="13"/>
      <c r="AL4" s="13"/>
      <c r="AM4" s="13"/>
      <c r="AN4" s="13"/>
      <c r="AO4" s="13"/>
    </row>
    <row r="5" spans="1:47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13"/>
      <c r="AC5" s="608"/>
      <c r="AD5" s="13"/>
      <c r="AE5" s="13"/>
      <c r="AF5" s="13"/>
      <c r="AG5" s="13"/>
      <c r="AH5" s="13"/>
      <c r="AI5" s="608"/>
      <c r="AJ5" s="13"/>
      <c r="AK5" s="13"/>
      <c r="AL5" s="13"/>
      <c r="AM5" s="13"/>
      <c r="AN5" s="13"/>
      <c r="AO5" s="13"/>
    </row>
    <row r="6" spans="1:47" s="1" customFormat="1" ht="27.75" x14ac:dyDescent="0.4">
      <c r="A6" s="703" t="s">
        <v>197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  <c r="AK6" s="703"/>
      <c r="AL6" s="13"/>
      <c r="AM6" s="13"/>
      <c r="AN6" s="13"/>
      <c r="AO6" s="13"/>
    </row>
    <row r="7" spans="1:47" s="1" customFormat="1" ht="18.75" thickBot="1" x14ac:dyDescent="0.3">
      <c r="A7" s="743" t="s">
        <v>83</v>
      </c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  <c r="AA7" s="744"/>
      <c r="AB7" s="744"/>
      <c r="AC7" s="744"/>
      <c r="AD7" s="744"/>
      <c r="AE7" s="744"/>
      <c r="AF7" s="744"/>
      <c r="AG7" s="744"/>
      <c r="AH7" s="744"/>
      <c r="AI7" s="744"/>
      <c r="AJ7" s="744"/>
      <c r="AK7" s="744"/>
      <c r="AL7" s="13"/>
      <c r="AM7" s="13"/>
      <c r="AN7" s="13"/>
      <c r="AO7" s="13"/>
    </row>
    <row r="8" spans="1:47" ht="21" customHeight="1" thickBot="1" x14ac:dyDescent="0.35">
      <c r="A8" s="745" t="s">
        <v>131</v>
      </c>
      <c r="B8" s="746"/>
      <c r="C8" s="746"/>
      <c r="D8" s="746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635"/>
      <c r="AD8" s="738" t="s">
        <v>131</v>
      </c>
      <c r="AE8" s="739"/>
      <c r="AF8" s="739"/>
      <c r="AG8" s="739"/>
      <c r="AH8" s="739"/>
      <c r="AI8" s="739"/>
      <c r="AJ8" s="739"/>
      <c r="AK8" s="739"/>
      <c r="AM8" s="566">
        <v>0.23499999999999999</v>
      </c>
    </row>
    <row r="9" spans="1:47" s="2" customFormat="1" ht="20.25" customHeight="1" thickBot="1" x14ac:dyDescent="0.25">
      <c r="A9" s="726" t="s">
        <v>1</v>
      </c>
      <c r="B9" s="726" t="s">
        <v>0</v>
      </c>
      <c r="C9" s="658" t="s">
        <v>77</v>
      </c>
      <c r="D9" s="658" t="s">
        <v>119</v>
      </c>
      <c r="E9" s="658" t="s">
        <v>127</v>
      </c>
      <c r="F9" s="658" t="s">
        <v>113</v>
      </c>
      <c r="G9" s="658" t="s">
        <v>102</v>
      </c>
      <c r="H9" s="658" t="s">
        <v>79</v>
      </c>
      <c r="I9" s="658" t="s">
        <v>147</v>
      </c>
      <c r="J9" s="684" t="s">
        <v>146</v>
      </c>
      <c r="K9" s="684" t="s">
        <v>121</v>
      </c>
      <c r="L9" s="684" t="s">
        <v>145</v>
      </c>
      <c r="M9" s="684" t="s">
        <v>146</v>
      </c>
      <c r="N9" s="686" t="s">
        <v>85</v>
      </c>
      <c r="O9" s="686" t="s">
        <v>120</v>
      </c>
      <c r="P9" s="697" t="s">
        <v>86</v>
      </c>
      <c r="Q9" s="686" t="s">
        <v>101</v>
      </c>
      <c r="R9" s="686" t="s">
        <v>84</v>
      </c>
      <c r="S9" s="658" t="s">
        <v>209</v>
      </c>
      <c r="T9" s="686" t="s">
        <v>69</v>
      </c>
      <c r="U9" s="740" t="s">
        <v>59</v>
      </c>
      <c r="V9" s="741"/>
      <c r="W9" s="741"/>
      <c r="X9" s="741"/>
      <c r="Y9" s="742"/>
      <c r="Z9" s="686" t="s">
        <v>68</v>
      </c>
      <c r="AA9" s="658" t="s">
        <v>89</v>
      </c>
      <c r="AB9" s="658" t="s">
        <v>88</v>
      </c>
      <c r="AC9" s="658" t="s">
        <v>208</v>
      </c>
      <c r="AD9" s="658" t="s">
        <v>87</v>
      </c>
      <c r="AE9" s="658" t="s">
        <v>91</v>
      </c>
      <c r="AF9" s="658" t="s">
        <v>90</v>
      </c>
      <c r="AG9" s="658" t="s">
        <v>173</v>
      </c>
      <c r="AH9" s="658" t="s">
        <v>190</v>
      </c>
      <c r="AI9" s="658" t="s">
        <v>196</v>
      </c>
      <c r="AJ9" s="696" t="s">
        <v>174</v>
      </c>
      <c r="AK9" s="658" t="s">
        <v>92</v>
      </c>
      <c r="AL9" s="658" t="s">
        <v>186</v>
      </c>
      <c r="AM9" s="682" t="s">
        <v>68</v>
      </c>
      <c r="AN9" s="658" t="s">
        <v>188</v>
      </c>
      <c r="AO9" s="658" t="s">
        <v>189</v>
      </c>
      <c r="AP9" s="17"/>
      <c r="AQ9" s="17"/>
    </row>
    <row r="10" spans="1:47" s="2" customFormat="1" ht="89.25" customHeight="1" thickBot="1" x14ac:dyDescent="0.25">
      <c r="A10" s="727"/>
      <c r="B10" s="727"/>
      <c r="C10" s="679"/>
      <c r="D10" s="679"/>
      <c r="E10" s="679"/>
      <c r="F10" s="679"/>
      <c r="G10" s="679"/>
      <c r="H10" s="679"/>
      <c r="I10" s="679"/>
      <c r="J10" s="685"/>
      <c r="K10" s="685"/>
      <c r="L10" s="685"/>
      <c r="M10" s="685"/>
      <c r="N10" s="687"/>
      <c r="O10" s="687"/>
      <c r="P10" s="698"/>
      <c r="Q10" s="687"/>
      <c r="R10" s="687"/>
      <c r="S10" s="679"/>
      <c r="T10" s="687"/>
      <c r="U10" s="7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687"/>
      <c r="AA10" s="679"/>
      <c r="AB10" s="679"/>
      <c r="AC10" s="659"/>
      <c r="AD10" s="679"/>
      <c r="AE10" s="679"/>
      <c r="AF10" s="679"/>
      <c r="AG10" s="679"/>
      <c r="AH10" s="679"/>
      <c r="AI10" s="679"/>
      <c r="AJ10" s="679"/>
      <c r="AK10" s="679"/>
      <c r="AL10" s="679"/>
      <c r="AM10" s="683"/>
      <c r="AN10" s="679"/>
      <c r="AO10" s="679"/>
      <c r="AP10" s="17"/>
      <c r="AQ10" s="17"/>
    </row>
    <row r="11" spans="1:47" s="1" customFormat="1" ht="21.75" customHeight="1" x14ac:dyDescent="0.2">
      <c r="A11" s="337">
        <v>505</v>
      </c>
      <c r="B11" s="434" t="s">
        <v>45</v>
      </c>
      <c r="C11" s="337">
        <v>0</v>
      </c>
      <c r="D11" s="337"/>
      <c r="E11" s="338"/>
      <c r="F11" s="339"/>
      <c r="G11" s="435">
        <v>3125</v>
      </c>
      <c r="H11" s="436">
        <f t="shared" ref="H11:H42" si="0">SUM(G11:G11)</f>
        <v>3125</v>
      </c>
      <c r="I11" s="626"/>
      <c r="J11" s="437"/>
      <c r="K11" s="342">
        <f>H11*'DATOS REFERENCIALES'!$C$4</f>
        <v>29986.875</v>
      </c>
      <c r="L11" s="342"/>
      <c r="M11" s="342"/>
      <c r="N11" s="344">
        <f>LOOKUP(C11,'TABLA ANTIG.'!$A$4:$A$39,'TABLA ANTIG.'!$B$4:$B$39)*(K11)</f>
        <v>0</v>
      </c>
      <c r="O11" s="344">
        <f t="shared" ref="O11:O42" si="1">K11*0.1</f>
        <v>2998.6875</v>
      </c>
      <c r="P11" s="342">
        <f>'DATOS REFERENCIALES'!$D$8</f>
        <v>12764</v>
      </c>
      <c r="Q11" s="348">
        <f>LOOKUP(C11,'TABLA ANTIG.'!$A$4:$A$39,'TABLA ANTIG.'!$B$4:$B$39)*(P11)</f>
        <v>0</v>
      </c>
      <c r="R11" s="344">
        <f t="shared" ref="R11:R42" si="2">(K11+P11)*0.15</f>
        <v>6412.6312499999995</v>
      </c>
      <c r="S11" s="422">
        <f>IF(C11&gt;11,IF(H11&gt;2069,'DATOS REFERENCIALES'!$D$18,'DATOS REFERENCIALES'!$D$18/2070*H11),0)</f>
        <v>0</v>
      </c>
      <c r="T11" s="344">
        <f>K11+N11+O11+P11+Q11+R11+S11</f>
        <v>52162.193749999999</v>
      </c>
      <c r="U11" s="344">
        <f t="shared" ref="U11:U42" si="3">$T11*11%</f>
        <v>5737.8413124999997</v>
      </c>
      <c r="V11" s="344">
        <f t="shared" ref="V11:W42" si="4">$T11*3%</f>
        <v>1564.8658124999999</v>
      </c>
      <c r="W11" s="344">
        <f t="shared" si="4"/>
        <v>1564.8658124999999</v>
      </c>
      <c r="X11" s="344">
        <f t="shared" ref="X11:X42" si="5">$T11*2%</f>
        <v>1043.2438749999999</v>
      </c>
      <c r="Y11" s="344">
        <f t="shared" ref="Y11:Y42" si="6">$T11*4.5%</f>
        <v>2347.2987187499998</v>
      </c>
      <c r="Z11" s="344">
        <f t="shared" ref="Z11:Z42" si="7">SUM(U11:Y11)</f>
        <v>12258.11553125</v>
      </c>
      <c r="AA11" s="347">
        <f t="shared" ref="AA11:AA42" si="8">T11-Z11</f>
        <v>39904.078218750001</v>
      </c>
      <c r="AB11" s="368">
        <f>'DATOS REFERENCIALES'!$D$10</f>
        <v>4540</v>
      </c>
      <c r="AC11" s="422">
        <f>IF(C11&lt;12,IF(H11&gt;2069,'DATOS REFERENCIALES'!$D$17,'DATOS REFERENCIALES'!$D$17/2070*H11),0)</f>
        <v>5168</v>
      </c>
      <c r="AD11" s="422">
        <f>IF((IF(H11&gt;2069,('DATOS REFERENCIALES'!$D$9-(T11-U11-V11-W11-X11-Y11+AB11+AC11)),(('DATOS REFERENCIALES'!$D$9/2070)*H11)-(K11+N11+O11+P11+Q11+S11-U11-V11-W11-X11-Y11+AB11+AC11)))&lt;0,0,IF(H11&gt;2069,(('DATOS REFERENCIALES'!$D$9)-(T11-U11-V11-W11-X11-Y11+AB11+AC11)),(('DATOS REFERENCIALES'!$D$9/2070)*H11)-(K11+N11+O11+P11+Q11+S11-U11-V11-W11-X11-Y11+AB11+AC11)))</f>
        <v>7463.9217812499992</v>
      </c>
      <c r="AE11" s="344">
        <f t="shared" ref="AE11:AE42" si="9">SUM(AA11:AD11)</f>
        <v>57076</v>
      </c>
      <c r="AF11" s="349">
        <f>'DATOS REFERENCIALES'!$D$13</f>
        <v>2420</v>
      </c>
      <c r="AG11" s="370"/>
      <c r="AH11" s="348" t="e">
        <f>IF($H11&gt;2042,'DATOS REFERENCIALES'!#REF!,'DATOS REFERENCIALES'!#REF!/2043*$H11)</f>
        <v>#REF!</v>
      </c>
      <c r="AI11" s="348">
        <f>+AF11</f>
        <v>2420</v>
      </c>
      <c r="AJ11" s="344">
        <f>'DATOS REFERENCIALES'!$D$12</f>
        <v>420</v>
      </c>
      <c r="AK11" s="676">
        <f>+AE11+AE12+AF11+AI11+AJ11</f>
        <v>67640.942072000005</v>
      </c>
      <c r="AL11" s="660">
        <f>'DATOS REFERENCIALES'!D16</f>
        <v>4044.61</v>
      </c>
      <c r="AM11" s="660">
        <f>AL11*$AM$8</f>
        <v>950.48334999999997</v>
      </c>
      <c r="AN11" s="660">
        <f>AL11-AM11</f>
        <v>3094.1266500000002</v>
      </c>
      <c r="AO11" s="660">
        <f>AK11+AN11</f>
        <v>70735.068722000011</v>
      </c>
      <c r="AP11" s="17"/>
      <c r="AQ11" s="17"/>
      <c r="AU11" s="8"/>
    </row>
    <row r="12" spans="1:47" s="1" customFormat="1" ht="22.5" customHeight="1" thickBot="1" x14ac:dyDescent="0.25">
      <c r="A12" s="352">
        <v>505</v>
      </c>
      <c r="B12" s="438" t="s">
        <v>45</v>
      </c>
      <c r="C12" s="352">
        <f>IF(C11&gt;0,C11,0)</f>
        <v>0</v>
      </c>
      <c r="D12" s="439"/>
      <c r="E12" s="440"/>
      <c r="F12" s="441"/>
      <c r="G12" s="442"/>
      <c r="H12" s="443"/>
      <c r="I12" s="627">
        <f>234.38/'DATOS REFERENCIALES'!$I$4*'DATOS REFERENCIALES'!$J$4</f>
        <v>390.63333333333333</v>
      </c>
      <c r="J12" s="356" t="s">
        <v>170</v>
      </c>
      <c r="K12" s="444"/>
      <c r="L12" s="444">
        <f>I12*'DATOS REFERENCIALES'!$C$4</f>
        <v>3748.4393400000004</v>
      </c>
      <c r="M12" s="444">
        <f>IF(J12='DATOS REFERENCIALES'!$C$39,K11*'DATOS REFERENCIALES'!$D$39,IF(J12='DATOS REFERENCIALES'!$C$40,('DATOS REFERENCIALES'!$D$40*K11),IF(J12='DATOS REFERENCIALES'!$C$41,('DATOS REFERENCIALES'!$D$41*K11),0)))</f>
        <v>1799.2124999999999</v>
      </c>
      <c r="N12" s="445">
        <f>LOOKUP(C12,'TABLA ANTIG.'!$A$4:$A$39,'TABLA ANTIG.'!$B$4:$B$39)*(L12+M12)</f>
        <v>0</v>
      </c>
      <c r="O12" s="445">
        <f>(L12+M12)*0.1</f>
        <v>554.76518400000009</v>
      </c>
      <c r="P12" s="444"/>
      <c r="Q12" s="445"/>
      <c r="R12" s="445">
        <f>(L12+M12)*0.15</f>
        <v>832.14777600000002</v>
      </c>
      <c r="S12" s="359"/>
      <c r="T12" s="445">
        <f>L12+M12+N12+O12+P12+Q12+R12</f>
        <v>6934.5648000000001</v>
      </c>
      <c r="U12" s="446">
        <f t="shared" si="3"/>
        <v>762.80212800000004</v>
      </c>
      <c r="V12" s="445">
        <f t="shared" si="4"/>
        <v>208.03694400000001</v>
      </c>
      <c r="W12" s="446">
        <f t="shared" si="4"/>
        <v>208.03694400000001</v>
      </c>
      <c r="X12" s="445">
        <f>$T12*2%</f>
        <v>138.69129599999999</v>
      </c>
      <c r="Y12" s="445">
        <f t="shared" si="6"/>
        <v>312.05541599999998</v>
      </c>
      <c r="Z12" s="445">
        <f t="shared" si="7"/>
        <v>1629.6227279999998</v>
      </c>
      <c r="AA12" s="447">
        <f t="shared" si="8"/>
        <v>5304.9420719999998</v>
      </c>
      <c r="AB12" s="445"/>
      <c r="AC12" s="359"/>
      <c r="AD12" s="359"/>
      <c r="AE12" s="448">
        <f t="shared" si="9"/>
        <v>5304.9420719999998</v>
      </c>
      <c r="AF12" s="530"/>
      <c r="AG12" s="449"/>
      <c r="AH12" s="448"/>
      <c r="AI12" s="448"/>
      <c r="AJ12" s="445"/>
      <c r="AK12" s="677"/>
      <c r="AL12" s="737"/>
      <c r="AM12" s="661"/>
      <c r="AN12" s="661"/>
      <c r="AO12" s="661"/>
      <c r="AP12" s="17"/>
      <c r="AQ12" s="17"/>
      <c r="AU12" s="8"/>
    </row>
    <row r="13" spans="1:47" s="1" customFormat="1" ht="25.5" customHeight="1" x14ac:dyDescent="0.2">
      <c r="A13" s="276">
        <v>551</v>
      </c>
      <c r="B13" s="459" t="s">
        <v>46</v>
      </c>
      <c r="C13" s="276">
        <v>0</v>
      </c>
      <c r="D13" s="276"/>
      <c r="E13" s="325"/>
      <c r="F13" s="326"/>
      <c r="G13" s="460">
        <v>2667</v>
      </c>
      <c r="H13" s="461">
        <f t="shared" si="0"/>
        <v>2667</v>
      </c>
      <c r="I13" s="628"/>
      <c r="J13" s="462"/>
      <c r="K13" s="278">
        <f>H13*'DATOS REFERENCIALES'!$C$4</f>
        <v>25591.998600000003</v>
      </c>
      <c r="L13" s="278"/>
      <c r="M13" s="278"/>
      <c r="N13" s="280">
        <f>LOOKUP(C13,'TABLA ANTIG.'!$A$4:$A$39,'TABLA ANTIG.'!$B$4:$B$39)*(K13)</f>
        <v>0</v>
      </c>
      <c r="O13" s="280">
        <f t="shared" si="1"/>
        <v>2559.1998600000006</v>
      </c>
      <c r="P13" s="278">
        <f>'DATOS REFERENCIALES'!$D$8</f>
        <v>12764</v>
      </c>
      <c r="Q13" s="282">
        <f>LOOKUP(C13,'TABLA ANTIG.'!$A$4:$A$39,'TABLA ANTIG.'!$B$4:$B$39)*(P13)</f>
        <v>0</v>
      </c>
      <c r="R13" s="280">
        <f t="shared" si="2"/>
        <v>5753.3997900000004</v>
      </c>
      <c r="S13" s="415">
        <f>IF(C13&gt;11,IF(H13&gt;2069,'DATOS REFERENCIALES'!$D$18,'DATOS REFERENCIALES'!$D$18/2070*H13),0)</f>
        <v>0</v>
      </c>
      <c r="T13" s="280">
        <f>K13+N13+O13+P13+Q13+R13+S13</f>
        <v>46668.598250000003</v>
      </c>
      <c r="U13" s="280">
        <f t="shared" si="3"/>
        <v>5133.5458075000006</v>
      </c>
      <c r="V13" s="280">
        <f t="shared" si="4"/>
        <v>1400.0579475</v>
      </c>
      <c r="W13" s="280">
        <f t="shared" si="4"/>
        <v>1400.0579475</v>
      </c>
      <c r="X13" s="280">
        <f t="shared" si="5"/>
        <v>933.37196500000005</v>
      </c>
      <c r="Y13" s="280">
        <f t="shared" si="6"/>
        <v>2100.0869212500002</v>
      </c>
      <c r="Z13" s="280">
        <f t="shared" si="7"/>
        <v>10967.12058875</v>
      </c>
      <c r="AA13" s="283">
        <f t="shared" si="8"/>
        <v>35701.477661249999</v>
      </c>
      <c r="AB13" s="397">
        <f>'DATOS REFERENCIALES'!$D$10</f>
        <v>4540</v>
      </c>
      <c r="AC13" s="415">
        <f>IF(C13&lt;12,IF(H13&gt;2069,'DATOS REFERENCIALES'!$D$17,'DATOS REFERENCIALES'!$D$17/2070*H13),0)</f>
        <v>5168</v>
      </c>
      <c r="AD13" s="415">
        <f>IF((IF(H13&gt;2069,('DATOS REFERENCIALES'!$D$9-(T13-U13-V13-W13-X13-Y13+AB13+AC13)),(('DATOS REFERENCIALES'!$D$9/2070)*H13)-(K13+N13+O13+P13+Q13+S13-U13-V13-W13-X13-Y13+AB13+AC13)))&lt;0,0,IF(H13&gt;2069,(('DATOS REFERENCIALES'!$D$9)-(T13-U13-V13-W13-X13-Y13+AB13+AC13)),(('DATOS REFERENCIALES'!$D$9/2070)*H13)-(K13+N13+O13+P13+Q13+S13-U13-V13-W13-X13-Y13+AB13+AC13)))</f>
        <v>11666.522338749986</v>
      </c>
      <c r="AE13" s="280">
        <f t="shared" si="9"/>
        <v>57075.999999999985</v>
      </c>
      <c r="AF13" s="285">
        <f>'DATOS REFERENCIALES'!$D$13</f>
        <v>2420</v>
      </c>
      <c r="AG13" s="399"/>
      <c r="AH13" s="282" t="e">
        <f>IF($H13&gt;2042,'DATOS REFERENCIALES'!#REF!,'DATOS REFERENCIALES'!#REF!/2043*$H13)</f>
        <v>#REF!</v>
      </c>
      <c r="AI13" s="282">
        <f>+AF13</f>
        <v>2420</v>
      </c>
      <c r="AJ13" s="280">
        <f>'DATOS REFERENCIALES'!$D$12</f>
        <v>420</v>
      </c>
      <c r="AK13" s="664">
        <f>+AE13+AE14+AF13+AI13+AJ13</f>
        <v>65395.120049187484</v>
      </c>
      <c r="AL13" s="662">
        <f>'DATOS REFERENCIALES'!D16</f>
        <v>4044.61</v>
      </c>
      <c r="AM13" s="662">
        <f>AL13*$AM$8</f>
        <v>950.48334999999997</v>
      </c>
      <c r="AN13" s="662">
        <f>AL13-AM13</f>
        <v>3094.1266500000002</v>
      </c>
      <c r="AO13" s="662">
        <f>AK13+AN13</f>
        <v>68489.246699187483</v>
      </c>
      <c r="AP13" s="17"/>
      <c r="AQ13" s="17"/>
      <c r="AU13" s="8"/>
    </row>
    <row r="14" spans="1:47" s="1" customFormat="1" ht="21.75" customHeight="1" thickBot="1" x14ac:dyDescent="0.25">
      <c r="A14" s="328">
        <v>551</v>
      </c>
      <c r="B14" s="463" t="s">
        <v>46</v>
      </c>
      <c r="C14" s="288">
        <f>IF(C13&gt;0,C13,0)</f>
        <v>0</v>
      </c>
      <c r="D14" s="328"/>
      <c r="E14" s="329"/>
      <c r="F14" s="330"/>
      <c r="G14" s="464"/>
      <c r="H14" s="465"/>
      <c r="I14" s="621">
        <f>200.03/'DATOS REFERENCIALES'!$I$4*'DATOS REFERENCIALES'!$J$4</f>
        <v>333.38333333333333</v>
      </c>
      <c r="J14" s="466"/>
      <c r="K14" s="332"/>
      <c r="L14" s="332">
        <f>I14*'DATOS REFERENCIALES'!$C$4</f>
        <v>3199.0797900000002</v>
      </c>
      <c r="M14" s="332"/>
      <c r="N14" s="299">
        <f>LOOKUP(C14,'TABLA ANTIG.'!$A$4:$A$39,'TABLA ANTIG.'!$B$4:$B$39)*(L14+M14)</f>
        <v>0</v>
      </c>
      <c r="O14" s="299">
        <f>(L14+M14)*0.1</f>
        <v>319.90797900000007</v>
      </c>
      <c r="P14" s="332"/>
      <c r="Q14" s="299"/>
      <c r="R14" s="294">
        <f>(L14+M14)*0.15</f>
        <v>479.86196849999999</v>
      </c>
      <c r="S14" s="333"/>
      <c r="T14" s="299">
        <f>L14+M14+N14+O14+P14+Q14+R14</f>
        <v>3998.8497375000002</v>
      </c>
      <c r="U14" s="333">
        <f t="shared" si="3"/>
        <v>439.87347112500004</v>
      </c>
      <c r="V14" s="299">
        <f t="shared" si="4"/>
        <v>119.965492125</v>
      </c>
      <c r="W14" s="333">
        <f t="shared" si="4"/>
        <v>119.965492125</v>
      </c>
      <c r="X14" s="299">
        <f>$T14*2%</f>
        <v>79.976994750000003</v>
      </c>
      <c r="Y14" s="299">
        <f t="shared" si="6"/>
        <v>179.94823818750001</v>
      </c>
      <c r="Z14" s="299">
        <f t="shared" si="7"/>
        <v>939.7296883125</v>
      </c>
      <c r="AA14" s="334">
        <f t="shared" si="8"/>
        <v>3059.1200491875002</v>
      </c>
      <c r="AB14" s="299"/>
      <c r="AC14" s="299"/>
      <c r="AD14" s="299"/>
      <c r="AE14" s="297">
        <f t="shared" si="9"/>
        <v>3059.1200491875002</v>
      </c>
      <c r="AF14" s="526"/>
      <c r="AG14" s="405"/>
      <c r="AH14" s="297"/>
      <c r="AI14" s="297"/>
      <c r="AJ14" s="299"/>
      <c r="AK14" s="665"/>
      <c r="AL14" s="736"/>
      <c r="AM14" s="663"/>
      <c r="AN14" s="663"/>
      <c r="AO14" s="663"/>
      <c r="AP14" s="17"/>
      <c r="AQ14" s="17"/>
      <c r="AU14" s="8"/>
    </row>
    <row r="15" spans="1:47" s="7" customFormat="1" ht="21.75" customHeight="1" x14ac:dyDescent="0.2">
      <c r="A15" s="467">
        <v>849</v>
      </c>
      <c r="B15" s="468" t="s">
        <v>78</v>
      </c>
      <c r="C15" s="302">
        <v>0</v>
      </c>
      <c r="D15" s="302"/>
      <c r="E15" s="378"/>
      <c r="F15" s="379"/>
      <c r="G15" s="451">
        <v>2359</v>
      </c>
      <c r="H15" s="452">
        <f t="shared" si="0"/>
        <v>2359</v>
      </c>
      <c r="I15" s="629"/>
      <c r="J15" s="453"/>
      <c r="K15" s="304">
        <f>H15*'DATOS REFERENCIALES'!$C$4</f>
        <v>22636.492200000001</v>
      </c>
      <c r="L15" s="304"/>
      <c r="M15" s="304"/>
      <c r="N15" s="306">
        <f>LOOKUP(C15,'TABLA ANTIG.'!$A$4:$A$39,'TABLA ANTIG.'!$B$4:$B$39)*(K15)</f>
        <v>0</v>
      </c>
      <c r="O15" s="306">
        <f t="shared" si="1"/>
        <v>2263.6492200000002</v>
      </c>
      <c r="P15" s="304">
        <f>'DATOS REFERENCIALES'!$D$8</f>
        <v>12764</v>
      </c>
      <c r="Q15" s="310">
        <f>LOOKUP(C15,'TABLA ANTIG.'!$A$4:$A$39,'TABLA ANTIG.'!$B$4:$B$39)*(P15)</f>
        <v>0</v>
      </c>
      <c r="R15" s="306">
        <f t="shared" si="2"/>
        <v>5310.0738300000003</v>
      </c>
      <c r="S15" s="411">
        <f>IF(C15&gt;11,IF(H15&gt;2069,'DATOS REFERENCIALES'!$D$18,'DATOS REFERENCIALES'!$D$18/2070*H15),0)</f>
        <v>0</v>
      </c>
      <c r="T15" s="306">
        <f>K15+N15+O15+P15+Q15+R15+S15</f>
        <v>42974.215250000001</v>
      </c>
      <c r="U15" s="306">
        <f t="shared" si="3"/>
        <v>4727.1636774999997</v>
      </c>
      <c r="V15" s="306">
        <f t="shared" si="4"/>
        <v>1289.2264574999999</v>
      </c>
      <c r="W15" s="306">
        <f t="shared" si="4"/>
        <v>1289.2264574999999</v>
      </c>
      <c r="X15" s="306">
        <f t="shared" si="5"/>
        <v>859.48430500000006</v>
      </c>
      <c r="Y15" s="306">
        <f t="shared" si="6"/>
        <v>1933.8396862499999</v>
      </c>
      <c r="Z15" s="306">
        <f t="shared" si="7"/>
        <v>10098.94058375</v>
      </c>
      <c r="AA15" s="308">
        <f t="shared" si="8"/>
        <v>32875.274666249999</v>
      </c>
      <c r="AB15" s="381">
        <f>'DATOS REFERENCIALES'!$D$10</f>
        <v>4540</v>
      </c>
      <c r="AC15" s="411">
        <f>IF(C15&lt;12,IF(H15&gt;2069,'DATOS REFERENCIALES'!$D$17,'DATOS REFERENCIALES'!$D$17/2070*H15),0)</f>
        <v>5168</v>
      </c>
      <c r="AD15" s="411">
        <f>IF((IF(H15&gt;2069,('DATOS REFERENCIALES'!$D$9-(T15-U15-V15-W15-X15-Y15+AB15+AC15)),(('DATOS REFERENCIALES'!$D$9/2070)*H15)-(K15+N15+O15+P15+Q15+S15-U15-V15-W15-X15-Y15+AB15+AC15)))&lt;0,0,IF(H15&gt;2069,(('DATOS REFERENCIALES'!$D$9)-(T15-U15-V15-W15-X15-Y15+AB15+AC15)),(('DATOS REFERENCIALES'!$D$9/2070)*H15)-(K15+N15+O15+P15+Q15+S15-U15-V15-W15-X15-Y15+AB15+AC15)))</f>
        <v>14492.725333750001</v>
      </c>
      <c r="AE15" s="306">
        <f t="shared" si="9"/>
        <v>57076</v>
      </c>
      <c r="AF15" s="311">
        <f>'DATOS REFERENCIALES'!$D$13</f>
        <v>2420</v>
      </c>
      <c r="AG15" s="383"/>
      <c r="AH15" s="310" t="e">
        <f>IF($H15&gt;2042,'DATOS REFERENCIALES'!#REF!,'DATOS REFERENCIALES'!#REF!/2043*$H15)</f>
        <v>#REF!</v>
      </c>
      <c r="AI15" s="310">
        <f>+AF15</f>
        <v>2420</v>
      </c>
      <c r="AJ15" s="306">
        <f>'DATOS REFERENCIALES'!$D$12</f>
        <v>420</v>
      </c>
      <c r="AK15" s="670">
        <f>+AE15+AE16+AF15+AI15+AJ15</f>
        <v>65041.844674812499</v>
      </c>
      <c r="AL15" s="668">
        <f>'DATOS REFERENCIALES'!D16</f>
        <v>4044.61</v>
      </c>
      <c r="AM15" s="668">
        <f>AL15*$AM$8</f>
        <v>950.48334999999997</v>
      </c>
      <c r="AN15" s="668">
        <f>AL15-AM15</f>
        <v>3094.1266500000002</v>
      </c>
      <c r="AO15" s="668">
        <f>AK15+AN15</f>
        <v>68135.971324812504</v>
      </c>
      <c r="AP15" s="17"/>
      <c r="AQ15" s="17"/>
      <c r="AU15" s="8"/>
    </row>
    <row r="16" spans="1:47" s="7" customFormat="1" ht="21.75" customHeight="1" thickBot="1" x14ac:dyDescent="0.25">
      <c r="A16" s="469">
        <v>849</v>
      </c>
      <c r="B16" s="470" t="s">
        <v>78</v>
      </c>
      <c r="C16" s="314">
        <f>IF(C15&gt;0,C15,0)</f>
        <v>0</v>
      </c>
      <c r="D16" s="314"/>
      <c r="E16" s="385"/>
      <c r="F16" s="386"/>
      <c r="G16" s="455"/>
      <c r="H16" s="456"/>
      <c r="I16" s="617">
        <f>176.93/'DATOS REFERENCIALES'!$I$4*'DATOS REFERENCIALES'!$J$4</f>
        <v>294.88333333333333</v>
      </c>
      <c r="J16" s="457"/>
      <c r="K16" s="316"/>
      <c r="L16" s="316">
        <f>I16*'DATOS REFERENCIALES'!$C$4</f>
        <v>2829.64149</v>
      </c>
      <c r="M16" s="316"/>
      <c r="N16" s="320">
        <f>LOOKUP(C16,'TABLA ANTIG.'!$A$4:$A$39,'TABLA ANTIG.'!$B$4:$B$39)*(L16+M16)</f>
        <v>0</v>
      </c>
      <c r="O16" s="320">
        <f>(L16+M16)*0.1</f>
        <v>282.96414900000002</v>
      </c>
      <c r="P16" s="316"/>
      <c r="Q16" s="320"/>
      <c r="R16" s="458">
        <f>(L16+M16)*0.15</f>
        <v>424.44622349999997</v>
      </c>
      <c r="S16" s="552"/>
      <c r="T16" s="320">
        <f>L16+M16+N16+O16+P16+Q16+R16</f>
        <v>3537.0518625</v>
      </c>
      <c r="U16" s="321">
        <f t="shared" si="3"/>
        <v>389.07570487499999</v>
      </c>
      <c r="V16" s="320">
        <f t="shared" si="4"/>
        <v>106.11155587499999</v>
      </c>
      <c r="W16" s="321">
        <f t="shared" si="4"/>
        <v>106.11155587499999</v>
      </c>
      <c r="X16" s="320">
        <f>$T16*2%</f>
        <v>70.741037250000005</v>
      </c>
      <c r="Y16" s="320">
        <f t="shared" si="6"/>
        <v>159.1673338125</v>
      </c>
      <c r="Z16" s="320">
        <f t="shared" si="7"/>
        <v>831.20718768749998</v>
      </c>
      <c r="AA16" s="323">
        <f t="shared" si="8"/>
        <v>2705.8446748124998</v>
      </c>
      <c r="AB16" s="320"/>
      <c r="AC16" s="320"/>
      <c r="AD16" s="320"/>
      <c r="AE16" s="322">
        <f t="shared" si="9"/>
        <v>2705.8446748124998</v>
      </c>
      <c r="AF16" s="324"/>
      <c r="AG16" s="390"/>
      <c r="AH16" s="322"/>
      <c r="AI16" s="322"/>
      <c r="AJ16" s="320"/>
      <c r="AK16" s="678"/>
      <c r="AL16" s="733"/>
      <c r="AM16" s="681"/>
      <c r="AN16" s="681"/>
      <c r="AO16" s="681"/>
      <c r="AP16" s="17"/>
      <c r="AQ16" s="17"/>
      <c r="AU16" s="8"/>
    </row>
    <row r="17" spans="1:255" s="1" customFormat="1" ht="21.75" customHeight="1" x14ac:dyDescent="0.2">
      <c r="A17" s="337">
        <v>516</v>
      </c>
      <c r="B17" s="434" t="s">
        <v>47</v>
      </c>
      <c r="C17" s="337">
        <v>0</v>
      </c>
      <c r="D17" s="337"/>
      <c r="E17" s="338"/>
      <c r="F17" s="339"/>
      <c r="G17" s="435">
        <v>1783</v>
      </c>
      <c r="H17" s="436">
        <f t="shared" si="0"/>
        <v>1783</v>
      </c>
      <c r="I17" s="626"/>
      <c r="J17" s="437"/>
      <c r="K17" s="342">
        <f>H17*'DATOS REFERENCIALES'!$C$4</f>
        <v>17109.311400000002</v>
      </c>
      <c r="L17" s="342"/>
      <c r="M17" s="342"/>
      <c r="N17" s="344">
        <f>LOOKUP(C17,'TABLA ANTIG.'!$A$4:$A$39,'TABLA ANTIG.'!$B$4:$B$39)*(K17)</f>
        <v>0</v>
      </c>
      <c r="O17" s="344">
        <f t="shared" si="1"/>
        <v>1710.9311400000004</v>
      </c>
      <c r="P17" s="342">
        <f>'DATOS REFERENCIALES'!$C$8</f>
        <v>6382</v>
      </c>
      <c r="Q17" s="348">
        <f>LOOKUP(C17,'TABLA ANTIG.'!$A$4:$A$39,'TABLA ANTIG.'!$B$4:$B$39)*(P17)</f>
        <v>0</v>
      </c>
      <c r="R17" s="344">
        <f t="shared" si="2"/>
        <v>3523.6967100000002</v>
      </c>
      <c r="S17" s="344">
        <f>IF(C17&gt;11,IF(H17&gt;1134,'DATOS REFERENCIALES'!$C$18,'DATOS REFERENCIALES'!$C$18/1135*H17),0)</f>
        <v>0</v>
      </c>
      <c r="T17" s="344">
        <f>K17+N17+O17+P17+Q17+R17+S17</f>
        <v>28725.939250000003</v>
      </c>
      <c r="U17" s="344">
        <f t="shared" si="3"/>
        <v>3159.8533175000002</v>
      </c>
      <c r="V17" s="344">
        <f t="shared" si="4"/>
        <v>861.77817750000008</v>
      </c>
      <c r="W17" s="344">
        <f t="shared" si="4"/>
        <v>861.77817750000008</v>
      </c>
      <c r="X17" s="344">
        <f t="shared" si="5"/>
        <v>574.51878500000009</v>
      </c>
      <c r="Y17" s="344">
        <f t="shared" si="6"/>
        <v>1292.66726625</v>
      </c>
      <c r="Z17" s="344">
        <f t="shared" si="7"/>
        <v>6750.5957237500006</v>
      </c>
      <c r="AA17" s="347">
        <f t="shared" si="8"/>
        <v>21975.343526250002</v>
      </c>
      <c r="AB17" s="344">
        <f>'DATOS REFERENCIALES'!$C$10</f>
        <v>2270</v>
      </c>
      <c r="AC17" s="347">
        <f>IF(C17&lt;12,IF(H17&gt;1134,'DATOS REFERENCIALES'!$C$17,'DATOS REFERENCIALES'!$C$17/1135*H17),0)</f>
        <v>2584</v>
      </c>
      <c r="AD17" s="422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1708.6564737499975</v>
      </c>
      <c r="AE17" s="344">
        <f t="shared" si="9"/>
        <v>28538</v>
      </c>
      <c r="AF17" s="349">
        <f>'DATOS REFERENCIALES'!$C$13</f>
        <v>1210</v>
      </c>
      <c r="AG17" s="370"/>
      <c r="AH17" s="348" t="e">
        <f>IF($H17&gt;1119,'DATOS REFERENCIALES'!#REF!,'DATOS REFERENCIALES'!#REF!/1120*$H17)</f>
        <v>#REF!</v>
      </c>
      <c r="AI17" s="348">
        <f>+AF17</f>
        <v>1210</v>
      </c>
      <c r="AJ17" s="344">
        <f>'DATOS REFERENCIALES'!$C$12</f>
        <v>210</v>
      </c>
      <c r="AK17" s="676">
        <f>+AE17+AE18+AF17+AI17+AJ17</f>
        <v>34194.820586387505</v>
      </c>
      <c r="AL17" s="660">
        <f>'DATOS REFERENCIALES'!C16</f>
        <v>2022.3050000000001</v>
      </c>
      <c r="AM17" s="660">
        <f>AL17*$AM$8</f>
        <v>475.24167499999999</v>
      </c>
      <c r="AN17" s="660">
        <f>AL17-AM17</f>
        <v>1547.0633250000001</v>
      </c>
      <c r="AO17" s="660">
        <f>AK17+AN17</f>
        <v>35741.883911387507</v>
      </c>
      <c r="AP17" s="17"/>
      <c r="AQ17" s="17"/>
      <c r="AU17" s="8"/>
    </row>
    <row r="18" spans="1:255" s="1" customFormat="1" ht="33" customHeight="1" thickBot="1" x14ac:dyDescent="0.25">
      <c r="A18" s="352">
        <v>516</v>
      </c>
      <c r="B18" s="438" t="s">
        <v>47</v>
      </c>
      <c r="C18" s="352">
        <f>IF(C17&gt;0,C17,0)</f>
        <v>0</v>
      </c>
      <c r="D18" s="352"/>
      <c r="E18" s="353"/>
      <c r="F18" s="354"/>
      <c r="G18" s="471"/>
      <c r="H18" s="472"/>
      <c r="I18" s="614">
        <f>133.73/'DATOS REFERENCIALES'!$I$4*'DATOS REFERENCIALES'!$J$4</f>
        <v>222.88333333333333</v>
      </c>
      <c r="J18" s="356" t="s">
        <v>170</v>
      </c>
      <c r="K18" s="357"/>
      <c r="L18" s="357">
        <f>I18*'DATOS REFERENCIALES'!$C$4</f>
        <v>2138.7438900000002</v>
      </c>
      <c r="M18" s="444">
        <f>IF(J18='DATOS REFERENCIALES'!$C$39,K17*'DATOS REFERENCIALES'!$D$39,IF(J18='DATOS REFERENCIALES'!$C$40,('DATOS REFERENCIALES'!$D$40*K17),IF(J18='DATOS REFERENCIALES'!$C$41,('DATOS REFERENCIALES'!$D$41*K17),0)))</f>
        <v>1026.5586840000001</v>
      </c>
      <c r="N18" s="359">
        <f>LOOKUP(C18,'TABLA ANTIG.'!$A$4:$A$39,'TABLA ANTIG.'!$B$4:$B$39)*(L18+M18)</f>
        <v>0</v>
      </c>
      <c r="O18" s="359">
        <f>(L18+M18)*0.1</f>
        <v>316.53025740000004</v>
      </c>
      <c r="P18" s="357"/>
      <c r="Q18" s="359"/>
      <c r="R18" s="445">
        <f>(L18+M18)*0.15</f>
        <v>474.79538610000003</v>
      </c>
      <c r="S18" s="359"/>
      <c r="T18" s="359">
        <f>L18+M18+N18+O18+P18+Q18+R18</f>
        <v>3956.6282175000006</v>
      </c>
      <c r="U18" s="362">
        <f t="shared" si="3"/>
        <v>435.22910392500006</v>
      </c>
      <c r="V18" s="359">
        <f t="shared" si="4"/>
        <v>118.69884652500001</v>
      </c>
      <c r="W18" s="362">
        <f t="shared" si="4"/>
        <v>118.69884652500001</v>
      </c>
      <c r="X18" s="359">
        <f>$T18*2%</f>
        <v>79.13256435000001</v>
      </c>
      <c r="Y18" s="359">
        <f t="shared" si="6"/>
        <v>178.04826978750003</v>
      </c>
      <c r="Z18" s="359">
        <f t="shared" si="7"/>
        <v>929.80763111250008</v>
      </c>
      <c r="AA18" s="363">
        <f t="shared" si="8"/>
        <v>3026.8205863875005</v>
      </c>
      <c r="AB18" s="359"/>
      <c r="AC18" s="362"/>
      <c r="AD18" s="359"/>
      <c r="AE18" s="358">
        <f t="shared" si="9"/>
        <v>3026.8205863875005</v>
      </c>
      <c r="AF18" s="364"/>
      <c r="AG18" s="376"/>
      <c r="AH18" s="358"/>
      <c r="AI18" s="358"/>
      <c r="AJ18" s="359"/>
      <c r="AK18" s="677"/>
      <c r="AL18" s="737"/>
      <c r="AM18" s="661"/>
      <c r="AN18" s="661"/>
      <c r="AO18" s="661"/>
      <c r="AP18" s="17"/>
      <c r="AQ18" s="17"/>
      <c r="AU18" s="8"/>
    </row>
    <row r="19" spans="1:255" s="1" customFormat="1" ht="21.75" customHeight="1" x14ac:dyDescent="0.2">
      <c r="A19" s="276">
        <v>576</v>
      </c>
      <c r="B19" s="459" t="s">
        <v>48</v>
      </c>
      <c r="C19" s="276">
        <v>0</v>
      </c>
      <c r="D19" s="276"/>
      <c r="E19" s="325"/>
      <c r="F19" s="326"/>
      <c r="G19" s="460">
        <v>1545</v>
      </c>
      <c r="H19" s="461">
        <f t="shared" si="0"/>
        <v>1545</v>
      </c>
      <c r="I19" s="628"/>
      <c r="J19" s="462"/>
      <c r="K19" s="278">
        <f>H19*'DATOS REFERENCIALES'!$C$4</f>
        <v>14825.511</v>
      </c>
      <c r="L19" s="278"/>
      <c r="M19" s="278"/>
      <c r="N19" s="280">
        <f>LOOKUP(C19,'TABLA ANTIG.'!$A$4:$A$39,'TABLA ANTIG.'!$B$4:$B$39)*(K19)</f>
        <v>0</v>
      </c>
      <c r="O19" s="280">
        <f t="shared" si="1"/>
        <v>1482.5511000000001</v>
      </c>
      <c r="P19" s="278">
        <f>'DATOS REFERENCIALES'!$C$8</f>
        <v>6382</v>
      </c>
      <c r="Q19" s="282">
        <f>LOOKUP(C19,'TABLA ANTIG.'!$A$4:$A$39,'TABLA ANTIG.'!$B$4:$B$39)*(P19)</f>
        <v>0</v>
      </c>
      <c r="R19" s="280">
        <f t="shared" si="2"/>
        <v>3181.1266499999997</v>
      </c>
      <c r="S19" s="280">
        <f>IF(C19&gt;11,IF(H19&gt;1134,'DATOS REFERENCIALES'!$C$18,'DATOS REFERENCIALES'!$C$18/1135*H19),0)</f>
        <v>0</v>
      </c>
      <c r="T19" s="280">
        <f>K19+N19+O19+P19+Q19+R19+S19</f>
        <v>25871.188750000001</v>
      </c>
      <c r="U19" s="280">
        <f t="shared" si="3"/>
        <v>2845.8307625000002</v>
      </c>
      <c r="V19" s="280">
        <f t="shared" si="4"/>
        <v>776.13566249999997</v>
      </c>
      <c r="W19" s="280">
        <f t="shared" si="4"/>
        <v>776.13566249999997</v>
      </c>
      <c r="X19" s="280">
        <f t="shared" si="5"/>
        <v>517.42377499999998</v>
      </c>
      <c r="Y19" s="280">
        <f t="shared" si="6"/>
        <v>1164.20349375</v>
      </c>
      <c r="Z19" s="280">
        <f t="shared" si="7"/>
        <v>6079.7293562500008</v>
      </c>
      <c r="AA19" s="283">
        <f t="shared" si="8"/>
        <v>19791.459393749999</v>
      </c>
      <c r="AB19" s="280">
        <f>'DATOS REFERENCIALES'!$C$10</f>
        <v>2270</v>
      </c>
      <c r="AC19" s="283">
        <f>IF(C19&lt;12,IF(H19&gt;1134,'DATOS REFERENCIALES'!$C$17,'DATOS REFERENCIALES'!$C$17/1135*H19),0)</f>
        <v>2584</v>
      </c>
      <c r="AD19" s="415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3892.5406062500006</v>
      </c>
      <c r="AE19" s="280">
        <f t="shared" si="9"/>
        <v>28538</v>
      </c>
      <c r="AF19" s="285">
        <f>'DATOS REFERENCIALES'!$C$13</f>
        <v>1210</v>
      </c>
      <c r="AG19" s="399"/>
      <c r="AH19" s="282" t="e">
        <f>IF($H19&gt;1119,'DATOS REFERENCIALES'!#REF!,'DATOS REFERENCIALES'!#REF!/1120*$H19)</f>
        <v>#REF!</v>
      </c>
      <c r="AI19" s="282">
        <f>+AF19</f>
        <v>1210</v>
      </c>
      <c r="AJ19" s="280">
        <f>'DATOS REFERENCIALES'!$C$12</f>
        <v>210</v>
      </c>
      <c r="AK19" s="664">
        <f>+AE19+AE20+AF19+AI19+AJ19</f>
        <v>32940.188328249998</v>
      </c>
      <c r="AL19" s="662">
        <f>'DATOS REFERENCIALES'!C16</f>
        <v>2022.3050000000001</v>
      </c>
      <c r="AM19" s="662">
        <f>AL19*$AM$8</f>
        <v>475.24167499999999</v>
      </c>
      <c r="AN19" s="662">
        <f>AL19-AM19</f>
        <v>1547.0633250000001</v>
      </c>
      <c r="AO19" s="662">
        <f>AK19+AN19</f>
        <v>34487.251653250001</v>
      </c>
      <c r="AP19" s="17"/>
      <c r="AQ19" s="17"/>
      <c r="AU19" s="8"/>
    </row>
    <row r="20" spans="1:255" s="1" customFormat="1" ht="21.75" customHeight="1" thickBot="1" x14ac:dyDescent="0.25">
      <c r="A20" s="328">
        <v>576</v>
      </c>
      <c r="B20" s="463" t="s">
        <v>48</v>
      </c>
      <c r="C20" s="288">
        <f>IF(C19&gt;0,C19,0)</f>
        <v>0</v>
      </c>
      <c r="D20" s="328"/>
      <c r="E20" s="329"/>
      <c r="F20" s="330"/>
      <c r="G20" s="464"/>
      <c r="H20" s="465"/>
      <c r="I20" s="621">
        <f>115.88/'DATOS REFERENCIALES'!$I$4*'DATOS REFERENCIALES'!$J$4</f>
        <v>193.13333333333333</v>
      </c>
      <c r="J20" s="466"/>
      <c r="K20" s="332"/>
      <c r="L20" s="332">
        <f>I20*'DATOS REFERENCIALES'!$C$4</f>
        <v>1853.26884</v>
      </c>
      <c r="M20" s="332"/>
      <c r="N20" s="299">
        <f>LOOKUP(C20,'TABLA ANTIG.'!$A$4:$A$39,'TABLA ANTIG.'!$B$4:$B$39)*(L20+M20)</f>
        <v>0</v>
      </c>
      <c r="O20" s="299">
        <f>(L20+M20)*0.1</f>
        <v>185.32688400000001</v>
      </c>
      <c r="P20" s="332"/>
      <c r="Q20" s="299"/>
      <c r="R20" s="299">
        <f>(L20+M20)*0.15</f>
        <v>277.99032599999998</v>
      </c>
      <c r="S20" s="333"/>
      <c r="T20" s="299">
        <f>L20+M20+N20+O20+P20+Q20+R20</f>
        <v>2316.5860499999999</v>
      </c>
      <c r="U20" s="333">
        <f t="shared" si="3"/>
        <v>254.8244655</v>
      </c>
      <c r="V20" s="299">
        <f t="shared" si="4"/>
        <v>69.497581499999995</v>
      </c>
      <c r="W20" s="333">
        <f t="shared" si="4"/>
        <v>69.497581499999995</v>
      </c>
      <c r="X20" s="299">
        <f>$T20*2%</f>
        <v>46.331721000000002</v>
      </c>
      <c r="Y20" s="299">
        <f t="shared" si="6"/>
        <v>104.24637224999999</v>
      </c>
      <c r="Z20" s="299">
        <f t="shared" si="7"/>
        <v>544.39772175000007</v>
      </c>
      <c r="AA20" s="334">
        <f t="shared" si="8"/>
        <v>1772.1883282499998</v>
      </c>
      <c r="AB20" s="299"/>
      <c r="AC20" s="540"/>
      <c r="AD20" s="299"/>
      <c r="AE20" s="297">
        <f t="shared" si="9"/>
        <v>1772.1883282499998</v>
      </c>
      <c r="AF20" s="526"/>
      <c r="AG20" s="405"/>
      <c r="AH20" s="297"/>
      <c r="AI20" s="297"/>
      <c r="AJ20" s="299"/>
      <c r="AK20" s="665"/>
      <c r="AL20" s="736"/>
      <c r="AM20" s="663"/>
      <c r="AN20" s="663"/>
      <c r="AO20" s="663"/>
      <c r="AP20" s="17"/>
      <c r="AQ20" s="17"/>
      <c r="AU20" s="8"/>
    </row>
    <row r="21" spans="1:255" s="1" customFormat="1" ht="21.75" customHeight="1" thickBot="1" x14ac:dyDescent="0.25">
      <c r="A21" s="189">
        <v>539</v>
      </c>
      <c r="B21" s="223" t="s">
        <v>55</v>
      </c>
      <c r="C21" s="189">
        <v>0</v>
      </c>
      <c r="D21" s="189"/>
      <c r="E21" s="233"/>
      <c r="F21" s="225"/>
      <c r="G21" s="226">
        <v>1120</v>
      </c>
      <c r="H21" s="597">
        <v>1135</v>
      </c>
      <c r="I21" s="630"/>
      <c r="J21" s="122"/>
      <c r="K21" s="216">
        <f>H21*'DATOS REFERENCIALES'!$C$4</f>
        <v>10891.233</v>
      </c>
      <c r="L21" s="216"/>
      <c r="M21" s="216"/>
      <c r="N21" s="201">
        <f>LOOKUP(C21,'TABLA ANTIG.'!$A$4:$A$39,'TABLA ANTIG.'!$B$4:$B$39)*(K21)</f>
        <v>0</v>
      </c>
      <c r="O21" s="202">
        <f t="shared" si="1"/>
        <v>1089.1233</v>
      </c>
      <c r="P21" s="216">
        <f>'DATOS REFERENCIALES'!$C$8</f>
        <v>6382</v>
      </c>
      <c r="Q21" s="227">
        <f>LOOKUP(C21,'TABLA ANTIG.'!$A$4:$A$39,'TABLA ANTIG.'!$B$4:$B$39)*(P21)</f>
        <v>0</v>
      </c>
      <c r="R21" s="202">
        <f t="shared" si="2"/>
        <v>2590.98495</v>
      </c>
      <c r="S21" s="545">
        <f>IF(C21&gt;11,IF(H21&gt;1134,'DATOS REFERENCIALES'!$C$18,'DATOS REFERENCIALES'!$C$18/1135*H21),0)</f>
        <v>0</v>
      </c>
      <c r="T21" s="202">
        <f>K21+N21+O21+P21+Q21+R21+S21</f>
        <v>20953.341249999998</v>
      </c>
      <c r="U21" s="201">
        <f t="shared" si="3"/>
        <v>2304.8675374999998</v>
      </c>
      <c r="V21" s="201">
        <f t="shared" si="4"/>
        <v>628.60023749999993</v>
      </c>
      <c r="W21" s="201">
        <f t="shared" si="4"/>
        <v>628.60023749999993</v>
      </c>
      <c r="X21" s="201">
        <f t="shared" si="5"/>
        <v>419.06682499999994</v>
      </c>
      <c r="Y21" s="201">
        <f t="shared" si="6"/>
        <v>942.90035624999985</v>
      </c>
      <c r="Z21" s="202">
        <f t="shared" si="7"/>
        <v>4924.0351937499991</v>
      </c>
      <c r="AA21" s="228">
        <f t="shared" si="8"/>
        <v>16029.30605625</v>
      </c>
      <c r="AB21" s="201">
        <f>'DATOS REFERENCIALES'!$C$10</f>
        <v>2270</v>
      </c>
      <c r="AC21" s="545">
        <f>IF(C21&lt;12,IF(H21&gt;1134,'DATOS REFERENCIALES'!$C$17,'DATOS REFERENCIALES'!$C$17/1135*H21),0)</f>
        <v>2584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7654.6939437500005</v>
      </c>
      <c r="AE21" s="201">
        <f t="shared" si="9"/>
        <v>28538</v>
      </c>
      <c r="AF21" s="531">
        <f>'DATOS REFERENCIALES'!$C$13</f>
        <v>1210</v>
      </c>
      <c r="AG21" s="269"/>
      <c r="AH21" s="227" t="e">
        <f>IF($H21&gt;1119,'DATOS REFERENCIALES'!#REF!,'DATOS REFERENCIALES'!#REF!/1120*$H21)</f>
        <v>#REF!</v>
      </c>
      <c r="AI21" s="227">
        <f>+AF21</f>
        <v>1210</v>
      </c>
      <c r="AJ21" s="201">
        <f>'DATOS REFERENCIALES'!$C$12</f>
        <v>210</v>
      </c>
      <c r="AK21" s="201">
        <f>+AE21+AF21+AI21+AJ21</f>
        <v>31168</v>
      </c>
      <c r="AL21" s="568">
        <f>'DATOS REFERENCIALES'!C16</f>
        <v>2022.3050000000001</v>
      </c>
      <c r="AM21" s="568">
        <f>AL21*$AM$8</f>
        <v>475.24167499999999</v>
      </c>
      <c r="AN21" s="568">
        <f>AL21-AM21</f>
        <v>1547.0633250000001</v>
      </c>
      <c r="AO21" s="605">
        <f>AK21+AN21</f>
        <v>32715.063324999999</v>
      </c>
      <c r="AP21" s="17"/>
      <c r="AQ21" s="17"/>
      <c r="AU21" s="8"/>
    </row>
    <row r="22" spans="1:255" s="1" customFormat="1" ht="21.75" customHeight="1" x14ac:dyDescent="0.2">
      <c r="A22" s="302">
        <v>558</v>
      </c>
      <c r="B22" s="450" t="s">
        <v>4</v>
      </c>
      <c r="C22" s="302">
        <v>0</v>
      </c>
      <c r="D22" s="302"/>
      <c r="E22" s="378"/>
      <c r="F22" s="379"/>
      <c r="G22" s="451">
        <v>1307</v>
      </c>
      <c r="H22" s="452">
        <f t="shared" si="0"/>
        <v>1307</v>
      </c>
      <c r="I22" s="629"/>
      <c r="J22" s="453"/>
      <c r="K22" s="304">
        <f>H22*'DATOS REFERENCIALES'!$C$4</f>
        <v>12541.7106</v>
      </c>
      <c r="L22" s="304"/>
      <c r="M22" s="304"/>
      <c r="N22" s="306">
        <f>LOOKUP(C22,'TABLA ANTIG.'!$A$4:$A$39,'TABLA ANTIG.'!$B$4:$B$39)*(K22)</f>
        <v>0</v>
      </c>
      <c r="O22" s="306">
        <f t="shared" si="1"/>
        <v>1254.1710600000001</v>
      </c>
      <c r="P22" s="304">
        <f>'DATOS REFERENCIALES'!$C$8</f>
        <v>6382</v>
      </c>
      <c r="Q22" s="310">
        <f>LOOKUP(C22,'TABLA ANTIG.'!$A$4:$A$39,'TABLA ANTIG.'!$B$4:$B$39)*(P22)</f>
        <v>0</v>
      </c>
      <c r="R22" s="306">
        <f t="shared" si="2"/>
        <v>2838.5565899999997</v>
      </c>
      <c r="S22" s="306">
        <f>IF(C22&gt;11,IF(H22&gt;1134,'DATOS REFERENCIALES'!$C$18,'DATOS REFERENCIALES'!$C$18/1135*H22),0)</f>
        <v>0</v>
      </c>
      <c r="T22" s="306">
        <f>K22+N22+O22+P22+Q22+R22+S22</f>
        <v>23016.438249999999</v>
      </c>
      <c r="U22" s="306">
        <f t="shared" si="3"/>
        <v>2531.8082074999998</v>
      </c>
      <c r="V22" s="306">
        <f t="shared" si="4"/>
        <v>690.49314749999996</v>
      </c>
      <c r="W22" s="306">
        <f t="shared" si="4"/>
        <v>690.49314749999996</v>
      </c>
      <c r="X22" s="306">
        <f t="shared" si="5"/>
        <v>460.32876499999998</v>
      </c>
      <c r="Y22" s="306">
        <f t="shared" si="6"/>
        <v>1035.73972125</v>
      </c>
      <c r="Z22" s="306">
        <f t="shared" si="7"/>
        <v>5408.8629887499992</v>
      </c>
      <c r="AA22" s="308">
        <f t="shared" si="8"/>
        <v>17607.57526125</v>
      </c>
      <c r="AB22" s="306">
        <f>'DATOS REFERENCIALES'!$C$10</f>
        <v>2270</v>
      </c>
      <c r="AC22" s="308">
        <f>IF(C22&lt;12,IF(H22&gt;1134,'DATOS REFERENCIALES'!$C$17,'DATOS REFERENCIALES'!$C$17/1135*H22),0)</f>
        <v>2584</v>
      </c>
      <c r="AD22" s="411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6076.42473875</v>
      </c>
      <c r="AE22" s="306">
        <f t="shared" si="9"/>
        <v>28538</v>
      </c>
      <c r="AF22" s="311">
        <f>'DATOS REFERENCIALES'!$C$13</f>
        <v>1210</v>
      </c>
      <c r="AG22" s="383"/>
      <c r="AH22" s="310" t="e">
        <f>IF($H22&gt;1119,'DATOS REFERENCIALES'!#REF!,'DATOS REFERENCIALES'!#REF!/1120*$H22)</f>
        <v>#REF!</v>
      </c>
      <c r="AI22" s="310">
        <f>+AF22</f>
        <v>1210</v>
      </c>
      <c r="AJ22" s="306">
        <f>'DATOS REFERENCIALES'!$C$12</f>
        <v>210</v>
      </c>
      <c r="AK22" s="670">
        <f>+AE22+AE23+AF22+AI22+AJ22</f>
        <v>32667.202811687501</v>
      </c>
      <c r="AL22" s="668">
        <f>'DATOS REFERENCIALES'!C16</f>
        <v>2022.3050000000001</v>
      </c>
      <c r="AM22" s="668">
        <f>AL22*$AM$8</f>
        <v>475.24167499999999</v>
      </c>
      <c r="AN22" s="734">
        <f>AL22-AM22</f>
        <v>1547.0633250000001</v>
      </c>
      <c r="AO22" s="668">
        <f>AK22+AN22</f>
        <v>34214.266136687504</v>
      </c>
      <c r="AP22" s="20"/>
      <c r="AQ22" s="17"/>
      <c r="AU22" s="8"/>
    </row>
    <row r="23" spans="1:255" s="1" customFormat="1" ht="21.75" customHeight="1" thickBot="1" x14ac:dyDescent="0.25">
      <c r="A23" s="314">
        <v>558</v>
      </c>
      <c r="B23" s="454" t="s">
        <v>4</v>
      </c>
      <c r="C23" s="314">
        <f>IF(C22&gt;0,C22,0)</f>
        <v>0</v>
      </c>
      <c r="D23" s="314"/>
      <c r="E23" s="385"/>
      <c r="F23" s="386"/>
      <c r="G23" s="455"/>
      <c r="H23" s="456"/>
      <c r="I23" s="617">
        <f>98.03/'DATOS REFERENCIALES'!$I$4*'DATOS REFERENCIALES'!$J$4</f>
        <v>163.38333333333333</v>
      </c>
      <c r="J23" s="457"/>
      <c r="K23" s="316"/>
      <c r="L23" s="316">
        <f>I23*'DATOS REFERENCIALES'!$C$4</f>
        <v>1567.7937899999999</v>
      </c>
      <c r="M23" s="316"/>
      <c r="N23" s="320">
        <f>LOOKUP(C23,'TABLA ANTIG.'!$A$4:$A$39,'TABLA ANTIG.'!$B$4:$B$39)*(L23+M23)</f>
        <v>0</v>
      </c>
      <c r="O23" s="320">
        <f>(L23+M23)*0.1</f>
        <v>156.77937900000001</v>
      </c>
      <c r="P23" s="316"/>
      <c r="Q23" s="320"/>
      <c r="R23" s="320">
        <f>(L23+M23)*0.15</f>
        <v>235.16906849999998</v>
      </c>
      <c r="S23" s="552"/>
      <c r="T23" s="320">
        <f>L23+M23+N23+O23+P23+Q23+R23</f>
        <v>1959.7422375000001</v>
      </c>
      <c r="U23" s="321">
        <f t="shared" si="3"/>
        <v>215.571646125</v>
      </c>
      <c r="V23" s="320">
        <f t="shared" si="4"/>
        <v>58.792267125000002</v>
      </c>
      <c r="W23" s="321">
        <f t="shared" si="4"/>
        <v>58.792267125000002</v>
      </c>
      <c r="X23" s="320">
        <f>$T23*2%</f>
        <v>39.194844750000001</v>
      </c>
      <c r="Y23" s="320">
        <f t="shared" si="6"/>
        <v>88.188400687500007</v>
      </c>
      <c r="Z23" s="320">
        <f t="shared" si="7"/>
        <v>460.53942581250004</v>
      </c>
      <c r="AA23" s="323">
        <f t="shared" si="8"/>
        <v>1499.2028116875001</v>
      </c>
      <c r="AB23" s="320"/>
      <c r="AC23" s="649"/>
      <c r="AD23" s="320"/>
      <c r="AE23" s="322">
        <f t="shared" si="9"/>
        <v>1499.2028116875001</v>
      </c>
      <c r="AF23" s="324"/>
      <c r="AG23" s="390"/>
      <c r="AH23" s="322"/>
      <c r="AI23" s="322"/>
      <c r="AJ23" s="320"/>
      <c r="AK23" s="671"/>
      <c r="AL23" s="733"/>
      <c r="AM23" s="681"/>
      <c r="AN23" s="735"/>
      <c r="AO23" s="681"/>
      <c r="AP23" s="17"/>
      <c r="AQ23" s="17"/>
      <c r="AU23" s="8"/>
    </row>
    <row r="24" spans="1:255" s="1" customFormat="1" ht="21.75" customHeight="1" x14ac:dyDescent="0.2">
      <c r="A24" s="119">
        <v>540</v>
      </c>
      <c r="B24" s="229" t="s">
        <v>11</v>
      </c>
      <c r="C24" s="176">
        <v>0</v>
      </c>
      <c r="D24" s="189"/>
      <c r="E24" s="44"/>
      <c r="F24" s="64"/>
      <c r="G24" s="65">
        <v>1120</v>
      </c>
      <c r="H24" s="604">
        <v>1135</v>
      </c>
      <c r="I24" s="630"/>
      <c r="J24" s="122"/>
      <c r="K24" s="105">
        <f>H24*'DATOS REFERENCIALES'!$C$4</f>
        <v>10891.233</v>
      </c>
      <c r="L24" s="105"/>
      <c r="M24" s="105"/>
      <c r="N24" s="106">
        <f>LOOKUP(C24,'TABLA ANTIG.'!$A$4:$A$39,'TABLA ANTIG.'!$B$4:$B$39)*(K24)</f>
        <v>0</v>
      </c>
      <c r="O24" s="145">
        <f t="shared" si="1"/>
        <v>1089.1233</v>
      </c>
      <c r="P24" s="105">
        <f>'DATOS REFERENCIALES'!$C$8</f>
        <v>6382</v>
      </c>
      <c r="Q24" s="146">
        <f>LOOKUP(C24,'TABLA ANTIG.'!$A$4:$A$39,'TABLA ANTIG.'!$B$4:$B$39)*(P24)</f>
        <v>0</v>
      </c>
      <c r="R24" s="145">
        <f t="shared" si="2"/>
        <v>2590.98495</v>
      </c>
      <c r="S24" s="543">
        <f>IF(C24&gt;11,IF(H24&gt;1134,'DATOS REFERENCIALES'!$C$18,'DATOS REFERENCIALES'!$C$18/1135*H24),0)</f>
        <v>0</v>
      </c>
      <c r="T24" s="550">
        <f t="shared" ref="T24:T42" si="10">K24+N24+O24+P24+Q24+R24+S24</f>
        <v>20953.341249999998</v>
      </c>
      <c r="U24" s="106">
        <f t="shared" si="3"/>
        <v>2304.8675374999998</v>
      </c>
      <c r="V24" s="106">
        <f t="shared" si="4"/>
        <v>628.60023749999993</v>
      </c>
      <c r="W24" s="106">
        <f t="shared" si="4"/>
        <v>628.60023749999993</v>
      </c>
      <c r="X24" s="106">
        <f t="shared" si="5"/>
        <v>419.06682499999994</v>
      </c>
      <c r="Y24" s="106">
        <f t="shared" si="6"/>
        <v>942.90035624999985</v>
      </c>
      <c r="Z24" s="113">
        <f t="shared" si="7"/>
        <v>4924.0351937499991</v>
      </c>
      <c r="AA24" s="149">
        <f t="shared" si="8"/>
        <v>16029.30605625</v>
      </c>
      <c r="AB24" s="149">
        <f>'DATOS REFERENCIALES'!$C$10</f>
        <v>2270</v>
      </c>
      <c r="AC24" s="653">
        <f>IF(C24&lt;12,IF(H24&gt;1134,'DATOS REFERENCIALES'!$C$17,'DATOS REFERENCIALES'!$C$17/1135*H24),0)</f>
        <v>2584</v>
      </c>
      <c r="AD24" s="78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7654.6939437500005</v>
      </c>
      <c r="AE24" s="656">
        <f t="shared" si="9"/>
        <v>28538</v>
      </c>
      <c r="AF24" s="527">
        <f>'DATOS REFERENCIALES'!$C$13</f>
        <v>1210</v>
      </c>
      <c r="AG24" s="269"/>
      <c r="AH24" s="78" t="e">
        <f>IF($H24&gt;1119,'DATOS REFERENCIALES'!#REF!,'DATOS REFERENCIALES'!#REF!/1120*$H24)</f>
        <v>#REF!</v>
      </c>
      <c r="AI24" s="78">
        <f>+AF24</f>
        <v>1210</v>
      </c>
      <c r="AJ24" s="149">
        <f>'DATOS REFERENCIALES'!$C$12</f>
        <v>210</v>
      </c>
      <c r="AK24" s="78">
        <f>+AE24+AF24+AI24+AJ24</f>
        <v>31168</v>
      </c>
      <c r="AL24" s="637">
        <f>'DATOS REFERENCIALES'!C16</f>
        <v>2022.3050000000001</v>
      </c>
      <c r="AM24" s="562">
        <f t="shared" ref="AM24:AM42" si="11">AL24*$AM$8</f>
        <v>475.24167499999999</v>
      </c>
      <c r="AN24" s="562">
        <f t="shared" ref="AN24:AN42" si="12">AL24-AM24</f>
        <v>1547.0633250000001</v>
      </c>
      <c r="AO24" s="606">
        <f>AK24+AN24</f>
        <v>32715.063324999999</v>
      </c>
      <c r="AP24" s="17"/>
      <c r="AQ24" s="17"/>
      <c r="AU24" s="8"/>
    </row>
    <row r="25" spans="1:255" s="1" customFormat="1" ht="21.75" customHeight="1" x14ac:dyDescent="0.2">
      <c r="A25" s="35">
        <v>541</v>
      </c>
      <c r="B25" s="230" t="s">
        <v>12</v>
      </c>
      <c r="C25" s="34">
        <v>0</v>
      </c>
      <c r="D25" s="37"/>
      <c r="E25" s="177"/>
      <c r="F25" s="56"/>
      <c r="G25" s="63">
        <v>1120</v>
      </c>
      <c r="H25" s="598">
        <v>1135</v>
      </c>
      <c r="I25" s="48"/>
      <c r="J25" s="48"/>
      <c r="K25" s="89">
        <f>H25*'DATOS REFERENCIALES'!$C$4</f>
        <v>10891.233</v>
      </c>
      <c r="L25" s="89"/>
      <c r="M25" s="89"/>
      <c r="N25" s="79">
        <f>LOOKUP(C25,'TABLA ANTIG.'!$A$4:$A$39,'TABLA ANTIG.'!$B$4:$B$39)*(K25)</f>
        <v>0</v>
      </c>
      <c r="O25" s="98">
        <f t="shared" si="1"/>
        <v>1089.1233</v>
      </c>
      <c r="P25" s="89">
        <f>'DATOS REFERENCIALES'!$C$8</f>
        <v>6382</v>
      </c>
      <c r="Q25" s="130">
        <f>LOOKUP(C25,'TABLA ANTIG.'!$A$4:$A$39,'TABLA ANTIG.'!$B$4:$B$39)*(P25)</f>
        <v>0</v>
      </c>
      <c r="R25" s="98">
        <f t="shared" si="2"/>
        <v>2590.98495</v>
      </c>
      <c r="S25" s="545">
        <f>IF(C25&gt;11,IF(H25&gt;1134,'DATOS REFERENCIALES'!$C$18,'DATOS REFERENCIALES'!$C$18/1135*H25),0)</f>
        <v>0</v>
      </c>
      <c r="T25" s="159">
        <f t="shared" si="10"/>
        <v>20953.341249999998</v>
      </c>
      <c r="U25" s="79">
        <f t="shared" si="3"/>
        <v>2304.8675374999998</v>
      </c>
      <c r="V25" s="79">
        <f t="shared" si="4"/>
        <v>628.60023749999993</v>
      </c>
      <c r="W25" s="79">
        <f t="shared" si="4"/>
        <v>628.60023749999993</v>
      </c>
      <c r="X25" s="79">
        <f t="shared" si="5"/>
        <v>419.06682499999994</v>
      </c>
      <c r="Y25" s="79">
        <f t="shared" si="6"/>
        <v>942.90035624999985</v>
      </c>
      <c r="Z25" s="27">
        <f t="shared" si="7"/>
        <v>4924.0351937499991</v>
      </c>
      <c r="AA25" s="147">
        <f t="shared" si="8"/>
        <v>16029.30605625</v>
      </c>
      <c r="AB25" s="147">
        <f>'DATOS REFERENCIALES'!$C$10</f>
        <v>2270</v>
      </c>
      <c r="AC25" s="654">
        <f>IF(C25&lt;12,IF(H25&gt;1134,'DATOS REFERENCIALES'!$C$17,'DATOS REFERENCIALES'!$C$17/1135*H25),0)</f>
        <v>2584</v>
      </c>
      <c r="AD25" s="79">
        <f>IF((IF(H25&gt;1134,('DATOS REFERENCIALES'!$C$9-(T25-U25-V25-W25-X25-Y25+AB25+AC25-L25-L25*0.235)),(('DATOS REFERENCIALES'!$C$9/1135)*H25)-(K25+N25+O25+P25+Q25+S25-U25-V25-W25-X25-Y25+AB25+AC25-(L25-L25*0.235))))&lt;0,0,IF(H25&gt;1134,(('DATOS REFERENCIALES'!$C$9)-(T25-U25-V25-W25-X25-Y25+AB25+AC25-(L25-L25*0.235))),(('DATOS REFERENCIALES'!$C$9/1135)*H25)-(K25+N25+O25+P25+Q25+S25-U25-V25-W25-X25-Y25+AB25+AC25-(L25-L25*0.235))))</f>
        <v>7654.6939437500005</v>
      </c>
      <c r="AE25" s="130">
        <f t="shared" si="9"/>
        <v>28538</v>
      </c>
      <c r="AF25" s="91">
        <f>'DATOS REFERENCIALES'!$C$13</f>
        <v>1210</v>
      </c>
      <c r="AG25" s="272"/>
      <c r="AH25" s="79" t="e">
        <f>IF($H25&gt;1119,'DATOS REFERENCIALES'!#REF!,'DATOS REFERENCIALES'!#REF!/1120*$H25)</f>
        <v>#REF!</v>
      </c>
      <c r="AI25" s="106">
        <f t="shared" ref="AI25:AI42" si="13">+AF25</f>
        <v>1210</v>
      </c>
      <c r="AJ25" s="147">
        <f>'DATOS REFERENCIALES'!$C$12</f>
        <v>210</v>
      </c>
      <c r="AK25" s="79">
        <f t="shared" ref="AK25:AK42" si="14">+AE25+AF25+AI25+AJ25</f>
        <v>31168</v>
      </c>
      <c r="AL25" s="638">
        <f>'DATOS REFERENCIALES'!$C$16</f>
        <v>2022.3050000000001</v>
      </c>
      <c r="AM25" s="571">
        <f t="shared" si="11"/>
        <v>475.24167499999999</v>
      </c>
      <c r="AN25" s="571">
        <f t="shared" si="12"/>
        <v>1547.0633250000001</v>
      </c>
      <c r="AO25" s="571">
        <f t="shared" ref="AO25:AO42" si="15">AK25+AN25</f>
        <v>32715.063324999999</v>
      </c>
      <c r="AP25" s="17"/>
      <c r="AQ25" s="17"/>
      <c r="AU25" s="8"/>
    </row>
    <row r="26" spans="1:255" s="1" customFormat="1" ht="21.75" customHeight="1" x14ac:dyDescent="0.2">
      <c r="A26" s="35">
        <v>850</v>
      </c>
      <c r="B26" s="230" t="s">
        <v>13</v>
      </c>
      <c r="C26" s="34">
        <v>0</v>
      </c>
      <c r="D26" s="37"/>
      <c r="E26" s="177"/>
      <c r="F26" s="56"/>
      <c r="G26" s="63">
        <v>1120</v>
      </c>
      <c r="H26" s="598">
        <v>1135</v>
      </c>
      <c r="I26" s="48"/>
      <c r="J26" s="48"/>
      <c r="K26" s="89">
        <f>H26*'DATOS REFERENCIALES'!$C$4</f>
        <v>10891.233</v>
      </c>
      <c r="L26" s="89"/>
      <c r="M26" s="89"/>
      <c r="N26" s="79">
        <f>LOOKUP(C26,'TABLA ANTIG.'!$A$4:$A$39,'TABLA ANTIG.'!$B$4:$B$39)*(K26)</f>
        <v>0</v>
      </c>
      <c r="O26" s="98">
        <f t="shared" si="1"/>
        <v>1089.1233</v>
      </c>
      <c r="P26" s="89">
        <f>'DATOS REFERENCIALES'!$C$8</f>
        <v>6382</v>
      </c>
      <c r="Q26" s="130">
        <f>LOOKUP(C26,'TABLA ANTIG.'!$A$4:$A$39,'TABLA ANTIG.'!$B$4:$B$39)*(P26)</f>
        <v>0</v>
      </c>
      <c r="R26" s="98">
        <f t="shared" si="2"/>
        <v>2590.98495</v>
      </c>
      <c r="S26" s="545">
        <f>IF(C26&gt;11,IF(H26&gt;1134,'DATOS REFERENCIALES'!$C$18,'DATOS REFERENCIALES'!$C$18/1135*H26),0)</f>
        <v>0</v>
      </c>
      <c r="T26" s="159">
        <f t="shared" si="10"/>
        <v>20953.341249999998</v>
      </c>
      <c r="U26" s="79">
        <f t="shared" si="3"/>
        <v>2304.8675374999998</v>
      </c>
      <c r="V26" s="79">
        <f t="shared" si="4"/>
        <v>628.60023749999993</v>
      </c>
      <c r="W26" s="79">
        <f t="shared" si="4"/>
        <v>628.60023749999993</v>
      </c>
      <c r="X26" s="79">
        <f t="shared" si="5"/>
        <v>419.06682499999994</v>
      </c>
      <c r="Y26" s="79">
        <f t="shared" si="6"/>
        <v>942.90035624999985</v>
      </c>
      <c r="Z26" s="27">
        <f t="shared" si="7"/>
        <v>4924.0351937499991</v>
      </c>
      <c r="AA26" s="147">
        <f t="shared" si="8"/>
        <v>16029.30605625</v>
      </c>
      <c r="AB26" s="147">
        <f>'DATOS REFERENCIALES'!$C$10</f>
        <v>2270</v>
      </c>
      <c r="AC26" s="654">
        <f>IF(C26&lt;12,IF(H26&gt;1134,'DATOS REFERENCIALES'!$C$17,'DATOS REFERENCIALES'!$C$17/1135*H26),0)</f>
        <v>2584</v>
      </c>
      <c r="AD26" s="79">
        <f>IF((IF(H26&gt;1134,('DATOS REFERENCIALES'!$C$9-(T26-U26-V26-W26-X26-Y26+AB26+AC26-L26-L26*0.235)),(('DATOS REFERENCIALES'!$C$9/1135)*H26)-(K26+N26+O26+P26+Q26+S26-U26-V26-W26-X26-Y26+AB26+AC26-(L26-L26*0.235))))&lt;0,0,IF(H26&gt;1134,(('DATOS REFERENCIALES'!$C$9)-(T26-U26-V26-W26-X26-Y26+AB26+AC26-(L26-L26*0.235))),(('DATOS REFERENCIALES'!$C$9/1135)*H26)-(K26+N26+O26+P26+Q26+S26-U26-V26-W26-X26-Y26+AB26+AC26-(L26-L26*0.235))))</f>
        <v>7654.6939437500005</v>
      </c>
      <c r="AE26" s="130">
        <f t="shared" si="9"/>
        <v>28538</v>
      </c>
      <c r="AF26" s="91">
        <f>'DATOS REFERENCIALES'!$C$13</f>
        <v>1210</v>
      </c>
      <c r="AG26" s="272"/>
      <c r="AH26" s="79" t="e">
        <f>IF($H26&gt;1119,'DATOS REFERENCIALES'!#REF!,'DATOS REFERENCIALES'!#REF!/1120*$H26)</f>
        <v>#REF!</v>
      </c>
      <c r="AI26" s="106">
        <f t="shared" si="13"/>
        <v>1210</v>
      </c>
      <c r="AJ26" s="147">
        <f>'DATOS REFERENCIALES'!$C$12</f>
        <v>210</v>
      </c>
      <c r="AK26" s="79">
        <f t="shared" si="14"/>
        <v>31168</v>
      </c>
      <c r="AL26" s="638">
        <f>'DATOS REFERENCIALES'!$C$16</f>
        <v>2022.3050000000001</v>
      </c>
      <c r="AM26" s="571">
        <f t="shared" si="11"/>
        <v>475.24167499999999</v>
      </c>
      <c r="AN26" s="571">
        <f t="shared" si="12"/>
        <v>1547.0633250000001</v>
      </c>
      <c r="AO26" s="571">
        <f t="shared" si="15"/>
        <v>32715.063324999999</v>
      </c>
      <c r="AP26" s="17"/>
      <c r="AQ26" s="17"/>
      <c r="AU26" s="8"/>
    </row>
    <row r="27" spans="1:255" s="1" customFormat="1" ht="21.75" customHeight="1" x14ac:dyDescent="0.2">
      <c r="A27" s="35">
        <v>852</v>
      </c>
      <c r="B27" s="230" t="s">
        <v>73</v>
      </c>
      <c r="C27" s="34">
        <v>0</v>
      </c>
      <c r="D27" s="37"/>
      <c r="E27" s="177"/>
      <c r="F27" s="56"/>
      <c r="G27" s="63">
        <v>1120</v>
      </c>
      <c r="H27" s="598">
        <v>1135</v>
      </c>
      <c r="I27" s="48"/>
      <c r="J27" s="48"/>
      <c r="K27" s="89">
        <f>H27*'DATOS REFERENCIALES'!$C$4</f>
        <v>10891.233</v>
      </c>
      <c r="L27" s="89"/>
      <c r="M27" s="89"/>
      <c r="N27" s="79">
        <f>LOOKUP(C27,'TABLA ANTIG.'!$A$4:$A$39,'TABLA ANTIG.'!$B$4:$B$39)*(K27)</f>
        <v>0</v>
      </c>
      <c r="O27" s="98">
        <f t="shared" si="1"/>
        <v>1089.1233</v>
      </c>
      <c r="P27" s="89">
        <f>'DATOS REFERENCIALES'!$C$8</f>
        <v>6382</v>
      </c>
      <c r="Q27" s="130">
        <f>LOOKUP(C27,'TABLA ANTIG.'!$A$4:$A$39,'TABLA ANTIG.'!$B$4:$B$39)*(P27)</f>
        <v>0</v>
      </c>
      <c r="R27" s="98">
        <f t="shared" si="2"/>
        <v>2590.98495</v>
      </c>
      <c r="S27" s="545">
        <f>IF(C27&gt;11,IF(H27&gt;1134,'DATOS REFERENCIALES'!$C$18,'DATOS REFERENCIALES'!$C$18/1135*H27),0)</f>
        <v>0</v>
      </c>
      <c r="T27" s="159">
        <f t="shared" si="10"/>
        <v>20953.341249999998</v>
      </c>
      <c r="U27" s="79">
        <f t="shared" si="3"/>
        <v>2304.8675374999998</v>
      </c>
      <c r="V27" s="79">
        <f t="shared" si="4"/>
        <v>628.60023749999993</v>
      </c>
      <c r="W27" s="79">
        <f t="shared" si="4"/>
        <v>628.60023749999993</v>
      </c>
      <c r="X27" s="79">
        <f t="shared" si="5"/>
        <v>419.06682499999994</v>
      </c>
      <c r="Y27" s="79">
        <f t="shared" si="6"/>
        <v>942.90035624999985</v>
      </c>
      <c r="Z27" s="27">
        <f t="shared" si="7"/>
        <v>4924.0351937499991</v>
      </c>
      <c r="AA27" s="147">
        <f t="shared" si="8"/>
        <v>16029.30605625</v>
      </c>
      <c r="AB27" s="147">
        <f>'DATOS REFERENCIALES'!$C$10</f>
        <v>2270</v>
      </c>
      <c r="AC27" s="654">
        <f>IF(C27&lt;12,IF(H27&gt;1134,'DATOS REFERENCIALES'!$C$17,'DATOS REFERENCIALES'!$C$17/1135*H27),0)</f>
        <v>2584</v>
      </c>
      <c r="AD27" s="79">
        <f>IF((IF(H27&gt;1134,('DATOS REFERENCIALES'!$C$9-(T27-U27-V27-W27-X27-Y27+AB27+AC27-L27-L27*0.235)),(('DATOS REFERENCIALES'!$C$9/1135)*H27)-(K27+N27+O27+P27+Q27+S27-U27-V27-W27-X27-Y27+AB27+AC27-(L27-L27*0.235))))&lt;0,0,IF(H27&gt;1134,(('DATOS REFERENCIALES'!$C$9)-(T27-U27-V27-W27-X27-Y27+AB27+AC27-(L27-L27*0.235))),(('DATOS REFERENCIALES'!$C$9/1135)*H27)-(K27+N27+O27+P27+Q27+S27-U27-V27-W27-X27-Y27+AB27+AC27-(L27-L27*0.235))))</f>
        <v>7654.6939437500005</v>
      </c>
      <c r="AE27" s="130">
        <f t="shared" si="9"/>
        <v>28538</v>
      </c>
      <c r="AF27" s="91">
        <f>'DATOS REFERENCIALES'!$C$13</f>
        <v>1210</v>
      </c>
      <c r="AG27" s="272"/>
      <c r="AH27" s="79" t="e">
        <f>IF($H27&gt;1119,'DATOS REFERENCIALES'!#REF!,'DATOS REFERENCIALES'!#REF!/1120*$H27)</f>
        <v>#REF!</v>
      </c>
      <c r="AI27" s="106">
        <f t="shared" si="13"/>
        <v>1210</v>
      </c>
      <c r="AJ27" s="147">
        <f>'DATOS REFERENCIALES'!$C$12</f>
        <v>210</v>
      </c>
      <c r="AK27" s="79">
        <f t="shared" si="14"/>
        <v>31168</v>
      </c>
      <c r="AL27" s="638">
        <f>'DATOS REFERENCIALES'!$C$16</f>
        <v>2022.3050000000001</v>
      </c>
      <c r="AM27" s="571">
        <f t="shared" si="11"/>
        <v>475.24167499999999</v>
      </c>
      <c r="AN27" s="571">
        <f t="shared" si="12"/>
        <v>1547.0633250000001</v>
      </c>
      <c r="AO27" s="571">
        <f t="shared" si="15"/>
        <v>32715.063324999999</v>
      </c>
      <c r="AP27" s="17"/>
      <c r="AQ27" s="17"/>
      <c r="AU27" s="8"/>
    </row>
    <row r="28" spans="1:255" s="1" customFormat="1" ht="21.75" customHeight="1" x14ac:dyDescent="0.2">
      <c r="A28" s="35">
        <v>546</v>
      </c>
      <c r="B28" s="230" t="s">
        <v>14</v>
      </c>
      <c r="C28" s="34">
        <v>0</v>
      </c>
      <c r="D28" s="37"/>
      <c r="E28" s="177"/>
      <c r="F28" s="56"/>
      <c r="G28" s="63">
        <v>1120</v>
      </c>
      <c r="H28" s="598">
        <v>1135</v>
      </c>
      <c r="I28" s="48"/>
      <c r="J28" s="48"/>
      <c r="K28" s="89">
        <f>H28*'DATOS REFERENCIALES'!$C$4</f>
        <v>10891.233</v>
      </c>
      <c r="L28" s="89"/>
      <c r="M28" s="89"/>
      <c r="N28" s="79">
        <f>LOOKUP(C28,'TABLA ANTIG.'!$A$4:$A$39,'TABLA ANTIG.'!$B$4:$B$39)*(K28)</f>
        <v>0</v>
      </c>
      <c r="O28" s="98">
        <f t="shared" si="1"/>
        <v>1089.1233</v>
      </c>
      <c r="P28" s="89">
        <f>'DATOS REFERENCIALES'!$C$8</f>
        <v>6382</v>
      </c>
      <c r="Q28" s="130">
        <f>LOOKUP(C28,'TABLA ANTIG.'!$A$4:$A$39,'TABLA ANTIG.'!$B$4:$B$39)*(P28)</f>
        <v>0</v>
      </c>
      <c r="R28" s="98">
        <f t="shared" si="2"/>
        <v>2590.98495</v>
      </c>
      <c r="S28" s="545">
        <f>IF(C28&gt;11,IF(H28&gt;1134,'DATOS REFERENCIALES'!$C$18,'DATOS REFERENCIALES'!$C$18/1135*H28),0)</f>
        <v>0</v>
      </c>
      <c r="T28" s="159">
        <f t="shared" si="10"/>
        <v>20953.341249999998</v>
      </c>
      <c r="U28" s="79">
        <f t="shared" si="3"/>
        <v>2304.8675374999998</v>
      </c>
      <c r="V28" s="79">
        <f t="shared" si="4"/>
        <v>628.60023749999993</v>
      </c>
      <c r="W28" s="79">
        <f t="shared" si="4"/>
        <v>628.60023749999993</v>
      </c>
      <c r="X28" s="79">
        <f t="shared" si="5"/>
        <v>419.06682499999994</v>
      </c>
      <c r="Y28" s="79">
        <f t="shared" si="6"/>
        <v>942.90035624999985</v>
      </c>
      <c r="Z28" s="27">
        <f t="shared" si="7"/>
        <v>4924.0351937499991</v>
      </c>
      <c r="AA28" s="147">
        <f t="shared" si="8"/>
        <v>16029.30605625</v>
      </c>
      <c r="AB28" s="147">
        <f>'DATOS REFERENCIALES'!$C$10</f>
        <v>2270</v>
      </c>
      <c r="AC28" s="654">
        <f>IF(C28&lt;12,IF(H28&gt;1134,'DATOS REFERENCIALES'!$C$17,'DATOS REFERENCIALES'!$C$17/1135*H28),0)</f>
        <v>2584</v>
      </c>
      <c r="AD28" s="79">
        <f>IF((IF(H28&gt;1134,('DATOS REFERENCIALES'!$C$9-(T28-U28-V28-W28-X28-Y28+AB28+AC28-L28-L28*0.235)),(('DATOS REFERENCIALES'!$C$9/1135)*H28)-(K28+N28+O28+P28+Q28+S28-U28-V28-W28-X28-Y28+AB28+AC28-(L28-L28*0.235))))&lt;0,0,IF(H28&gt;1134,(('DATOS REFERENCIALES'!$C$9)-(T28-U28-V28-W28-X28-Y28+AB28+AC28-(L28-L28*0.235))),(('DATOS REFERENCIALES'!$C$9/1135)*H28)-(K28+N28+O28+P28+Q28+S28-U28-V28-W28-X28-Y28+AB28+AC28-(L28-L28*0.235))))</f>
        <v>7654.6939437500005</v>
      </c>
      <c r="AE28" s="130">
        <f t="shared" si="9"/>
        <v>28538</v>
      </c>
      <c r="AF28" s="91">
        <f>'DATOS REFERENCIALES'!$C$13</f>
        <v>1210</v>
      </c>
      <c r="AG28" s="272"/>
      <c r="AH28" s="79" t="e">
        <f>IF($H28&gt;1119,'DATOS REFERENCIALES'!#REF!,'DATOS REFERENCIALES'!#REF!/1120*$H28)</f>
        <v>#REF!</v>
      </c>
      <c r="AI28" s="106">
        <f t="shared" si="13"/>
        <v>1210</v>
      </c>
      <c r="AJ28" s="147">
        <f>'DATOS REFERENCIALES'!$C$12</f>
        <v>210</v>
      </c>
      <c r="AK28" s="79">
        <f t="shared" si="14"/>
        <v>31168</v>
      </c>
      <c r="AL28" s="638">
        <f>'DATOS REFERENCIALES'!$C$16</f>
        <v>2022.3050000000001</v>
      </c>
      <c r="AM28" s="571">
        <f t="shared" si="11"/>
        <v>475.24167499999999</v>
      </c>
      <c r="AN28" s="571">
        <f t="shared" si="12"/>
        <v>1547.0633250000001</v>
      </c>
      <c r="AO28" s="571">
        <f t="shared" si="15"/>
        <v>32715.063324999999</v>
      </c>
      <c r="AP28" s="17"/>
      <c r="AQ28" s="17"/>
      <c r="AU28" s="8"/>
    </row>
    <row r="29" spans="1:255" s="1" customFormat="1" ht="21.75" customHeight="1" x14ac:dyDescent="0.2">
      <c r="A29" s="35">
        <v>571</v>
      </c>
      <c r="B29" s="230" t="s">
        <v>74</v>
      </c>
      <c r="C29" s="34">
        <v>0</v>
      </c>
      <c r="D29" s="35"/>
      <c r="E29" s="178"/>
      <c r="F29" s="34"/>
      <c r="G29" s="62">
        <v>1120</v>
      </c>
      <c r="H29" s="599">
        <v>1135</v>
      </c>
      <c r="I29" s="49"/>
      <c r="J29" s="49"/>
      <c r="K29" s="89">
        <f>H29*'DATOS REFERENCIALES'!$C$4</f>
        <v>10891.233</v>
      </c>
      <c r="L29" s="89"/>
      <c r="M29" s="89"/>
      <c r="N29" s="79">
        <f>LOOKUP(C29,'TABLA ANTIG.'!$A$4:$A$39,'TABLA ANTIG.'!$B$4:$B$39)*(K29)</f>
        <v>0</v>
      </c>
      <c r="O29" s="98">
        <f t="shared" si="1"/>
        <v>1089.1233</v>
      </c>
      <c r="P29" s="89">
        <f>'DATOS REFERENCIALES'!$C$8</f>
        <v>6382</v>
      </c>
      <c r="Q29" s="130">
        <f>LOOKUP(C29,'TABLA ANTIG.'!$A$4:$A$39,'TABLA ANTIG.'!$B$4:$B$39)*(P29)</f>
        <v>0</v>
      </c>
      <c r="R29" s="98">
        <f t="shared" si="2"/>
        <v>2590.98495</v>
      </c>
      <c r="S29" s="545">
        <f>IF(C29&gt;11,IF(H29&gt;1134,'DATOS REFERENCIALES'!$C$18,'DATOS REFERENCIALES'!$C$18/1135*H29),0)</f>
        <v>0</v>
      </c>
      <c r="T29" s="159">
        <f t="shared" si="10"/>
        <v>20953.341249999998</v>
      </c>
      <c r="U29" s="79">
        <f t="shared" si="3"/>
        <v>2304.8675374999998</v>
      </c>
      <c r="V29" s="79">
        <f t="shared" si="4"/>
        <v>628.60023749999993</v>
      </c>
      <c r="W29" s="79">
        <f t="shared" si="4"/>
        <v>628.60023749999993</v>
      </c>
      <c r="X29" s="79">
        <f t="shared" si="5"/>
        <v>419.06682499999994</v>
      </c>
      <c r="Y29" s="79">
        <f t="shared" si="6"/>
        <v>942.90035624999985</v>
      </c>
      <c r="Z29" s="27">
        <f t="shared" si="7"/>
        <v>4924.0351937499991</v>
      </c>
      <c r="AA29" s="147">
        <f t="shared" si="8"/>
        <v>16029.30605625</v>
      </c>
      <c r="AB29" s="147">
        <f>'DATOS REFERENCIALES'!$C$10</f>
        <v>2270</v>
      </c>
      <c r="AC29" s="654">
        <f>IF(C29&lt;12,IF(H29&gt;1134,'DATOS REFERENCIALES'!$C$17,'DATOS REFERENCIALES'!$C$17/1135*H29),0)</f>
        <v>2584</v>
      </c>
      <c r="AD29" s="79">
        <f>IF((IF(H29&gt;1134,('DATOS REFERENCIALES'!$C$9-(T29-U29-V29-W29-X29-Y29+AB29+AC29-L29-L29*0.235)),(('DATOS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7654.6939437500005</v>
      </c>
      <c r="AE29" s="130">
        <f t="shared" si="9"/>
        <v>28538</v>
      </c>
      <c r="AF29" s="91">
        <f>'DATOS REFERENCIALES'!$C$13</f>
        <v>1210</v>
      </c>
      <c r="AG29" s="272"/>
      <c r="AH29" s="79" t="e">
        <f>IF($H29&gt;1119,'DATOS REFERENCIALES'!#REF!,'DATOS REFERENCIALES'!#REF!/1120*$H29)</f>
        <v>#REF!</v>
      </c>
      <c r="AI29" s="106">
        <f t="shared" si="13"/>
        <v>1210</v>
      </c>
      <c r="AJ29" s="147">
        <f>'DATOS REFERENCIALES'!$C$12</f>
        <v>210</v>
      </c>
      <c r="AK29" s="79">
        <f t="shared" si="14"/>
        <v>31168</v>
      </c>
      <c r="AL29" s="638">
        <f>'DATOS REFERENCIALES'!$C$16</f>
        <v>2022.3050000000001</v>
      </c>
      <c r="AM29" s="571">
        <f t="shared" si="11"/>
        <v>475.24167499999999</v>
      </c>
      <c r="AN29" s="571">
        <f t="shared" si="12"/>
        <v>1547.0633250000001</v>
      </c>
      <c r="AO29" s="571">
        <f t="shared" si="15"/>
        <v>32715.063324999999</v>
      </c>
      <c r="AP29" s="17"/>
      <c r="AQ29" s="17"/>
      <c r="AU29" s="8"/>
    </row>
    <row r="30" spans="1:255" s="7" customFormat="1" ht="21.75" customHeight="1" x14ac:dyDescent="0.2">
      <c r="A30" s="35">
        <v>582</v>
      </c>
      <c r="B30" s="230" t="s">
        <v>72</v>
      </c>
      <c r="C30" s="34">
        <v>0</v>
      </c>
      <c r="D30" s="37"/>
      <c r="E30" s="177"/>
      <c r="F30" s="56"/>
      <c r="G30" s="63">
        <v>959.5</v>
      </c>
      <c r="H30" s="48">
        <f t="shared" si="0"/>
        <v>959.5</v>
      </c>
      <c r="I30" s="48"/>
      <c r="J30" s="48"/>
      <c r="K30" s="89">
        <f>H30*'DATOS REFERENCIALES'!$C$4</f>
        <v>9207.1701000000012</v>
      </c>
      <c r="L30" s="89"/>
      <c r="M30" s="89"/>
      <c r="N30" s="79">
        <f>LOOKUP(C30,'TABLA ANTIG.'!$A$4:$A$39,'TABLA ANTIG.'!$B$4:$B$39)*(K30)</f>
        <v>0</v>
      </c>
      <c r="O30" s="98">
        <f t="shared" si="1"/>
        <v>920.71701000000019</v>
      </c>
      <c r="P30" s="89">
        <f>'DATOS REFERENCIALES'!$C$8</f>
        <v>6382</v>
      </c>
      <c r="Q30" s="130">
        <f>LOOKUP(C30,'TABLA ANTIG.'!$A$4:$A$39,'TABLA ANTIG.'!$B$4:$B$39)*(P30)</f>
        <v>0</v>
      </c>
      <c r="R30" s="98">
        <f t="shared" si="2"/>
        <v>2338.3755150000002</v>
      </c>
      <c r="S30" s="545">
        <f>IF(C30&gt;11,IF(H30&gt;1134,'DATOS REFERENCIALES'!$C$18,'DATOS REFERENCIALES'!$C$18/1135*H30),0)</f>
        <v>0</v>
      </c>
      <c r="T30" s="159">
        <f t="shared" si="10"/>
        <v>18848.262625000003</v>
      </c>
      <c r="U30" s="79">
        <f t="shared" si="3"/>
        <v>2073.3088887500003</v>
      </c>
      <c r="V30" s="79">
        <f t="shared" si="4"/>
        <v>565.44787875000009</v>
      </c>
      <c r="W30" s="79">
        <f t="shared" si="4"/>
        <v>565.44787875000009</v>
      </c>
      <c r="X30" s="79">
        <f t="shared" si="5"/>
        <v>376.96525250000008</v>
      </c>
      <c r="Y30" s="79">
        <f t="shared" si="6"/>
        <v>848.17181812500007</v>
      </c>
      <c r="Z30" s="27">
        <f t="shared" si="7"/>
        <v>4429.3417168750011</v>
      </c>
      <c r="AA30" s="147">
        <f t="shared" si="8"/>
        <v>14418.920908125001</v>
      </c>
      <c r="AB30" s="147">
        <f>'DATOS REFERENCIALES'!$C$10</f>
        <v>2270</v>
      </c>
      <c r="AC30" s="654">
        <f>IF(C30&lt;12,IF(H30&gt;1134,'DATOS REFERENCIALES'!$C$17,'DATOS REFERENCIALES'!$C$17/1135*H30),0)</f>
        <v>2184.447577092511</v>
      </c>
      <c r="AD30" s="79">
        <f>IF((IF(H30&gt;1134,('DATOS REFERENCIALES'!$C$9-(T30-U30-V30-W30-X30-Y30+AB30+AC30-L30-L30*0.235)),(('DATOS REFERENCIALES'!$C$9/1135)*H30)-(K30+N30+O30+P30+Q30+S30-U30-V30-W30-X30-Y30+AB30+AC30-(L30-L30*0.235))))&lt;0,0,IF(H30&gt;1134,(('DATOS REFERENCIALES'!$C$9)-(T30-U30-V30-W30-X30-Y30+AB30+AC30-(L30-L30*0.235))),(('DATOS REFERENCIALES'!$C$9/1135)*H30)-(K30+N30+O30+P30+Q30+S30-U30-V30-W30-X30-Y30+AB30+AC30-(L30-L30*0.235))))</f>
        <v>7590.3030650247783</v>
      </c>
      <c r="AE30" s="130">
        <f t="shared" si="9"/>
        <v>26463.671550242292</v>
      </c>
      <c r="AF30" s="91">
        <f>'DATOS REFERENCIALES'!$C$13</f>
        <v>1210</v>
      </c>
      <c r="AG30" s="272"/>
      <c r="AH30" s="79" t="e">
        <f>IF($H30&gt;1119,'DATOS REFERENCIALES'!#REF!,'DATOS REFERENCIALES'!#REF!/1120*$H30)</f>
        <v>#REF!</v>
      </c>
      <c r="AI30" s="106">
        <f t="shared" si="13"/>
        <v>1210</v>
      </c>
      <c r="AJ30" s="147">
        <f>'DATOS REFERENCIALES'!$C$12</f>
        <v>210</v>
      </c>
      <c r="AK30" s="79">
        <f t="shared" si="14"/>
        <v>29093.671550242292</v>
      </c>
      <c r="AL30" s="638">
        <f>'DATOS REFERENCIALES'!$C$16</f>
        <v>2022.3050000000001</v>
      </c>
      <c r="AM30" s="571">
        <f t="shared" si="11"/>
        <v>475.24167499999999</v>
      </c>
      <c r="AN30" s="571">
        <f t="shared" si="12"/>
        <v>1547.0633250000001</v>
      </c>
      <c r="AO30" s="571">
        <f t="shared" si="15"/>
        <v>30640.734875242291</v>
      </c>
      <c r="AP30" s="17"/>
      <c r="AQ30" s="17"/>
      <c r="AR30" s="1"/>
      <c r="AS30" s="1"/>
      <c r="AT30" s="1"/>
      <c r="AU30" s="8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s="7" customFormat="1" ht="21.75" customHeight="1" x14ac:dyDescent="0.2">
      <c r="A31" s="35">
        <v>583</v>
      </c>
      <c r="B31" s="230" t="s">
        <v>71</v>
      </c>
      <c r="C31" s="34">
        <v>0</v>
      </c>
      <c r="D31" s="37"/>
      <c r="E31" s="177"/>
      <c r="F31" s="56"/>
      <c r="G31" s="63">
        <v>982</v>
      </c>
      <c r="H31" s="48">
        <f t="shared" si="0"/>
        <v>982</v>
      </c>
      <c r="I31" s="48"/>
      <c r="J31" s="48"/>
      <c r="K31" s="89">
        <f>H31*'DATOS REFERENCIALES'!$C$4</f>
        <v>9423.0756000000001</v>
      </c>
      <c r="L31" s="89"/>
      <c r="M31" s="89"/>
      <c r="N31" s="79">
        <f>LOOKUP(C31,'TABLA ANTIG.'!$A$4:$A$39,'TABLA ANTIG.'!$B$4:$B$39)*(K31)</f>
        <v>0</v>
      </c>
      <c r="O31" s="98">
        <f t="shared" si="1"/>
        <v>942.30756000000008</v>
      </c>
      <c r="P31" s="89">
        <f>'DATOS REFERENCIALES'!$C$8</f>
        <v>6382</v>
      </c>
      <c r="Q31" s="130">
        <f>LOOKUP(C31,'TABLA ANTIG.'!$A$4:$A$39,'TABLA ANTIG.'!$B$4:$B$39)*(P31)</f>
        <v>0</v>
      </c>
      <c r="R31" s="98">
        <f t="shared" si="2"/>
        <v>2370.76134</v>
      </c>
      <c r="S31" s="545">
        <f>IF(C31&gt;11,IF(H31&gt;1134,'DATOS REFERENCIALES'!$C$18,'DATOS REFERENCIALES'!$C$18/1135*H31),0)</f>
        <v>0</v>
      </c>
      <c r="T31" s="159">
        <f t="shared" si="10"/>
        <v>19118.144499999999</v>
      </c>
      <c r="U31" s="79">
        <f t="shared" si="3"/>
        <v>2102.995895</v>
      </c>
      <c r="V31" s="79">
        <f t="shared" si="4"/>
        <v>573.54433499999993</v>
      </c>
      <c r="W31" s="79">
        <f t="shared" si="4"/>
        <v>573.54433499999993</v>
      </c>
      <c r="X31" s="79">
        <f t="shared" si="5"/>
        <v>382.36288999999999</v>
      </c>
      <c r="Y31" s="79">
        <f t="shared" si="6"/>
        <v>860.31650249999996</v>
      </c>
      <c r="Z31" s="27">
        <f t="shared" si="7"/>
        <v>4492.7639575000003</v>
      </c>
      <c r="AA31" s="147">
        <f t="shared" si="8"/>
        <v>14625.380542499999</v>
      </c>
      <c r="AB31" s="147">
        <f>'DATOS REFERENCIALES'!$C$10</f>
        <v>2270</v>
      </c>
      <c r="AC31" s="654">
        <f>IF(C31&lt;12,IF(H31&gt;1134,'DATOS REFERENCIALES'!$C$17,'DATOS REFERENCIALES'!$C$17/1135*H31),0)</f>
        <v>2235.672246696035</v>
      </c>
      <c r="AD31" s="79">
        <f>IF((IF(H31&gt;1134,('DATOS REFERENCIALES'!$C$9-(T31-U31-V31-W31-X31-Y31+AB31+AC31-L31-L31*0.235)),(('DATOS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7930.7358635792989</v>
      </c>
      <c r="AE31" s="130">
        <f t="shared" si="9"/>
        <v>27061.788652775333</v>
      </c>
      <c r="AF31" s="91">
        <f>'DATOS REFERENCIALES'!$C$13</f>
        <v>1210</v>
      </c>
      <c r="AG31" s="272"/>
      <c r="AH31" s="79" t="e">
        <f>IF($H31&gt;1119,'DATOS REFERENCIALES'!#REF!,'DATOS REFERENCIALES'!#REF!/1120*$H31)</f>
        <v>#REF!</v>
      </c>
      <c r="AI31" s="106">
        <f t="shared" si="13"/>
        <v>1210</v>
      </c>
      <c r="AJ31" s="147">
        <f>'DATOS REFERENCIALES'!$C$12</f>
        <v>210</v>
      </c>
      <c r="AK31" s="79">
        <f t="shared" si="14"/>
        <v>29691.788652775333</v>
      </c>
      <c r="AL31" s="638">
        <f>'DATOS REFERENCIALES'!$C$16</f>
        <v>2022.3050000000001</v>
      </c>
      <c r="AM31" s="571">
        <f t="shared" si="11"/>
        <v>475.24167499999999</v>
      </c>
      <c r="AN31" s="571">
        <f t="shared" si="12"/>
        <v>1547.0633250000001</v>
      </c>
      <c r="AO31" s="571">
        <f t="shared" si="15"/>
        <v>31238.851977775332</v>
      </c>
      <c r="AP31" s="17"/>
      <c r="AQ31" s="17"/>
      <c r="AR31" s="1"/>
      <c r="AS31" s="1"/>
      <c r="AT31" s="1"/>
      <c r="AU31" s="8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s="1" customFormat="1" ht="21.75" customHeight="1" x14ac:dyDescent="0.2">
      <c r="A32" s="35">
        <v>554</v>
      </c>
      <c r="B32" s="230" t="s">
        <v>16</v>
      </c>
      <c r="C32" s="34">
        <v>0</v>
      </c>
      <c r="D32" s="37"/>
      <c r="E32" s="177"/>
      <c r="F32" s="56"/>
      <c r="G32" s="63">
        <v>810</v>
      </c>
      <c r="H32" s="48">
        <f t="shared" si="0"/>
        <v>810</v>
      </c>
      <c r="I32" s="48"/>
      <c r="J32" s="48"/>
      <c r="K32" s="89">
        <f>H32*'DATOS REFERENCIALES'!$C$4</f>
        <v>7772.5980000000009</v>
      </c>
      <c r="L32" s="89"/>
      <c r="M32" s="89"/>
      <c r="N32" s="79">
        <f>LOOKUP(C32,'TABLA ANTIG.'!$A$4:$A$39,'TABLA ANTIG.'!$B$4:$B$39)*(K32)</f>
        <v>0</v>
      </c>
      <c r="O32" s="98">
        <f t="shared" si="1"/>
        <v>777.25980000000015</v>
      </c>
      <c r="P32" s="89">
        <f>'DATOS REFERENCIALES'!$C$8</f>
        <v>6382</v>
      </c>
      <c r="Q32" s="130">
        <f>LOOKUP(C32,'TABLA ANTIG.'!$A$4:$A$39,'TABLA ANTIG.'!$B$4:$B$39)*(P32)</f>
        <v>0</v>
      </c>
      <c r="R32" s="98">
        <f t="shared" si="2"/>
        <v>2123.1897000000004</v>
      </c>
      <c r="S32" s="545">
        <f>IF(C32&gt;11,IF(H32&gt;1134,'DATOS REFERENCIALES'!$C$18,'DATOS REFERENCIALES'!$C$18/1135*H32),0)</f>
        <v>0</v>
      </c>
      <c r="T32" s="159">
        <f t="shared" si="10"/>
        <v>17055.047500000001</v>
      </c>
      <c r="U32" s="79">
        <f t="shared" si="3"/>
        <v>1876.0552250000001</v>
      </c>
      <c r="V32" s="79">
        <f t="shared" si="4"/>
        <v>511.65142500000002</v>
      </c>
      <c r="W32" s="79">
        <f t="shared" si="4"/>
        <v>511.65142500000002</v>
      </c>
      <c r="X32" s="79">
        <f t="shared" si="5"/>
        <v>341.10095000000001</v>
      </c>
      <c r="Y32" s="79">
        <f t="shared" si="6"/>
        <v>767.47713750000003</v>
      </c>
      <c r="Z32" s="27">
        <f t="shared" si="7"/>
        <v>4007.9361625000001</v>
      </c>
      <c r="AA32" s="147">
        <f t="shared" si="8"/>
        <v>13047.1113375</v>
      </c>
      <c r="AB32" s="147">
        <f>'DATOS REFERENCIALES'!$C$10</f>
        <v>2270</v>
      </c>
      <c r="AC32" s="654">
        <f>IF(C32&lt;12,IF(H32&gt;1134,'DATOS REFERENCIALES'!$C$17,'DATOS REFERENCIALES'!$C$17/1135*H32),0)</f>
        <v>1844.0881057268721</v>
      </c>
      <c r="AD32" s="79">
        <f>IF((IF(H32&gt;1134,('DATOS REFERENCIALES'!$C$9-(T32-U32-V32-W32-X32-Y32+AB32+AC32-L32-L32*0.235)),(('DATOS REFERENCIALES'!$C$9/1135)*H32)-(K32+N32+O32+P32+Q32+S32-U32-V32-W32-X32-Y32+AB32+AC32-(L32-L32*0.235))))&lt;0,0,IF(H32&gt;1134,(('DATOS REFERENCIALES'!$C$9)-(T32-U32-V32-W32-X32-Y32+AB32+AC32-(L32-L32*0.235))),(('DATOS REFERENCIALES'!$C$9/1135)*H32)-(K32+N32+O32+P32+Q32+S32-U32-V32-W32-X32-Y32+AB32+AC32-(L32-L32*0.235))))</f>
        <v>5328.3162479625535</v>
      </c>
      <c r="AE32" s="130">
        <f t="shared" si="9"/>
        <v>22489.515691189426</v>
      </c>
      <c r="AF32" s="91">
        <f>'DATOS REFERENCIALES'!$C$13</f>
        <v>1210</v>
      </c>
      <c r="AG32" s="272"/>
      <c r="AH32" s="79" t="e">
        <f>IF($H32&gt;1119,'DATOS REFERENCIALES'!#REF!,'DATOS REFERENCIALES'!#REF!/1120*$H32)</f>
        <v>#REF!</v>
      </c>
      <c r="AI32" s="106">
        <f t="shared" si="13"/>
        <v>1210</v>
      </c>
      <c r="AJ32" s="147">
        <f>'DATOS REFERENCIALES'!$C$12</f>
        <v>210</v>
      </c>
      <c r="AK32" s="79">
        <f t="shared" si="14"/>
        <v>25119.515691189426</v>
      </c>
      <c r="AL32" s="638">
        <f>'DATOS REFERENCIALES'!$C$16</f>
        <v>2022.3050000000001</v>
      </c>
      <c r="AM32" s="571">
        <f t="shared" si="11"/>
        <v>475.24167499999999</v>
      </c>
      <c r="AN32" s="571">
        <f t="shared" si="12"/>
        <v>1547.0633250000001</v>
      </c>
      <c r="AO32" s="571">
        <f t="shared" si="15"/>
        <v>26666.579016189426</v>
      </c>
      <c r="AP32" s="17"/>
      <c r="AQ32" s="17"/>
      <c r="AU32" s="8"/>
    </row>
    <row r="33" spans="1:47" s="1" customFormat="1" ht="21.75" customHeight="1" x14ac:dyDescent="0.2">
      <c r="A33" s="35">
        <v>536</v>
      </c>
      <c r="B33" s="230" t="s">
        <v>21</v>
      </c>
      <c r="C33" s="34">
        <v>0</v>
      </c>
      <c r="D33" s="37"/>
      <c r="E33" s="177"/>
      <c r="F33" s="56"/>
      <c r="G33" s="63">
        <v>1120</v>
      </c>
      <c r="H33" s="598">
        <v>1135</v>
      </c>
      <c r="I33" s="48"/>
      <c r="J33" s="48"/>
      <c r="K33" s="89">
        <f>H33*'DATOS REFERENCIALES'!$C$4</f>
        <v>10891.233</v>
      </c>
      <c r="L33" s="89"/>
      <c r="M33" s="89"/>
      <c r="N33" s="79">
        <f>LOOKUP(C33,'TABLA ANTIG.'!$A$4:$A$39,'TABLA ANTIG.'!$B$4:$B$39)*(K33)</f>
        <v>0</v>
      </c>
      <c r="O33" s="98">
        <f t="shared" si="1"/>
        <v>1089.1233</v>
      </c>
      <c r="P33" s="89">
        <f>'DATOS REFERENCIALES'!$C$8</f>
        <v>6382</v>
      </c>
      <c r="Q33" s="130">
        <f>LOOKUP(C33,'TABLA ANTIG.'!$A$4:$A$39,'TABLA ANTIG.'!$B$4:$B$39)*(P33)</f>
        <v>0</v>
      </c>
      <c r="R33" s="98">
        <f t="shared" si="2"/>
        <v>2590.98495</v>
      </c>
      <c r="S33" s="545">
        <f>IF(C33&gt;11,IF(H33&gt;1134,'DATOS REFERENCIALES'!$C$18,'DATOS REFERENCIALES'!$C$18/1135*H33),0)</f>
        <v>0</v>
      </c>
      <c r="T33" s="159">
        <f t="shared" si="10"/>
        <v>20953.341249999998</v>
      </c>
      <c r="U33" s="79">
        <f t="shared" si="3"/>
        <v>2304.8675374999998</v>
      </c>
      <c r="V33" s="79">
        <f t="shared" si="4"/>
        <v>628.60023749999993</v>
      </c>
      <c r="W33" s="79">
        <f t="shared" si="4"/>
        <v>628.60023749999993</v>
      </c>
      <c r="X33" s="79">
        <f t="shared" si="5"/>
        <v>419.06682499999994</v>
      </c>
      <c r="Y33" s="79">
        <f t="shared" si="6"/>
        <v>942.90035624999985</v>
      </c>
      <c r="Z33" s="27">
        <f t="shared" si="7"/>
        <v>4924.0351937499991</v>
      </c>
      <c r="AA33" s="147">
        <f t="shared" si="8"/>
        <v>16029.30605625</v>
      </c>
      <c r="AB33" s="147">
        <f>'DATOS REFERENCIALES'!$C$10</f>
        <v>2270</v>
      </c>
      <c r="AC33" s="654">
        <f>IF(C33&lt;12,IF(H33&gt;1134,'DATOS REFERENCIALES'!$C$17,'DATOS REFERENCIALES'!$C$17/1135*H33),0)</f>
        <v>2584</v>
      </c>
      <c r="AD33" s="79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7654.6939437500005</v>
      </c>
      <c r="AE33" s="130">
        <f t="shared" si="9"/>
        <v>28538</v>
      </c>
      <c r="AF33" s="91">
        <f>'DATOS REFERENCIALES'!$C$13</f>
        <v>1210</v>
      </c>
      <c r="AG33" s="272"/>
      <c r="AH33" s="79" t="e">
        <f>IF($H33&gt;1119,'DATOS REFERENCIALES'!#REF!,'DATOS REFERENCIALES'!#REF!/1120*$H33)</f>
        <v>#REF!</v>
      </c>
      <c r="AI33" s="106">
        <f t="shared" si="13"/>
        <v>1210</v>
      </c>
      <c r="AJ33" s="147">
        <f>'DATOS REFERENCIALES'!$C$12</f>
        <v>210</v>
      </c>
      <c r="AK33" s="79">
        <f t="shared" si="14"/>
        <v>31168</v>
      </c>
      <c r="AL33" s="638">
        <f>'DATOS REFERENCIALES'!$C$16</f>
        <v>2022.3050000000001</v>
      </c>
      <c r="AM33" s="571">
        <f t="shared" si="11"/>
        <v>475.24167499999999</v>
      </c>
      <c r="AN33" s="571">
        <f t="shared" si="12"/>
        <v>1547.0633250000001</v>
      </c>
      <c r="AO33" s="571">
        <f t="shared" si="15"/>
        <v>32715.063324999999</v>
      </c>
      <c r="AP33" s="17"/>
      <c r="AQ33" s="17"/>
      <c r="AU33" s="8"/>
    </row>
    <row r="34" spans="1:47" s="1" customFormat="1" ht="21.75" customHeight="1" x14ac:dyDescent="0.2">
      <c r="A34" s="35">
        <v>580</v>
      </c>
      <c r="B34" s="230" t="s">
        <v>6</v>
      </c>
      <c r="C34" s="34">
        <v>0</v>
      </c>
      <c r="D34" s="35"/>
      <c r="E34" s="178"/>
      <c r="F34" s="34"/>
      <c r="G34" s="62">
        <v>1120</v>
      </c>
      <c r="H34" s="599">
        <v>1135</v>
      </c>
      <c r="I34" s="49"/>
      <c r="J34" s="49"/>
      <c r="K34" s="89">
        <f>H34*'DATOS REFERENCIALES'!$C$4</f>
        <v>10891.233</v>
      </c>
      <c r="L34" s="89"/>
      <c r="M34" s="89"/>
      <c r="N34" s="79">
        <f>LOOKUP(C34,'TABLA ANTIG.'!$A$4:$A$39,'TABLA ANTIG.'!$B$4:$B$39)*(K34)</f>
        <v>0</v>
      </c>
      <c r="O34" s="98">
        <f t="shared" si="1"/>
        <v>1089.1233</v>
      </c>
      <c r="P34" s="89">
        <f>'DATOS REFERENCIALES'!$C$8</f>
        <v>6382</v>
      </c>
      <c r="Q34" s="130">
        <f>LOOKUP(C34,'TABLA ANTIG.'!$A$4:$A$39,'TABLA ANTIG.'!$B$4:$B$39)*(P34)</f>
        <v>0</v>
      </c>
      <c r="R34" s="98">
        <f t="shared" si="2"/>
        <v>2590.98495</v>
      </c>
      <c r="S34" s="545">
        <f>IF(C34&gt;11,IF(H34&gt;1134,'DATOS REFERENCIALES'!$C$18,'DATOS REFERENCIALES'!$C$18/1135*H34),0)</f>
        <v>0</v>
      </c>
      <c r="T34" s="159">
        <f t="shared" si="10"/>
        <v>20953.341249999998</v>
      </c>
      <c r="U34" s="79">
        <f t="shared" si="3"/>
        <v>2304.8675374999998</v>
      </c>
      <c r="V34" s="79">
        <f t="shared" si="4"/>
        <v>628.60023749999993</v>
      </c>
      <c r="W34" s="79">
        <f t="shared" si="4"/>
        <v>628.60023749999993</v>
      </c>
      <c r="X34" s="79">
        <f t="shared" si="5"/>
        <v>419.06682499999994</v>
      </c>
      <c r="Y34" s="79">
        <f t="shared" si="6"/>
        <v>942.90035624999985</v>
      </c>
      <c r="Z34" s="27">
        <f t="shared" si="7"/>
        <v>4924.0351937499991</v>
      </c>
      <c r="AA34" s="147">
        <f t="shared" si="8"/>
        <v>16029.30605625</v>
      </c>
      <c r="AB34" s="147">
        <f>'DATOS REFERENCIALES'!$C$10</f>
        <v>2270</v>
      </c>
      <c r="AC34" s="654">
        <f>IF(C34&lt;12,IF(H34&gt;1134,'DATOS REFERENCIALES'!$C$17,'DATOS REFERENCIALES'!$C$17/1135*H34),0)</f>
        <v>2584</v>
      </c>
      <c r="AD34" s="79">
        <f>IF((IF(H34&gt;1134,('DATOS REFERENCIALES'!$C$9-(T34-U34-V34-W34-X34-Y34+AB34+AC34-L34-L34*0.235)),(('DATOS REFERENCIALES'!$C$9/1135)*H34)-(K34+N34+O34+P34+Q34+S34-U34-V34-W34-X34-Y34+AB34+AC34-(L34-L34*0.235))))&lt;0,0,IF(H34&gt;1134,(('DATOS REFERENCIALES'!$C$9)-(T34-U34-V34-W34-X34-Y34+AB34+AC34-(L34-L34*0.235))),(('DATOS REFERENCIALES'!$C$9/1135)*H34)-(K34+N34+O34+P34+Q34+S34-U34-V34-W34-X34-Y34+AB34+AC34-(L34-L34*0.235))))</f>
        <v>7654.6939437500005</v>
      </c>
      <c r="AE34" s="130">
        <f t="shared" si="9"/>
        <v>28538</v>
      </c>
      <c r="AF34" s="91">
        <f>'DATOS REFERENCIALES'!$C$13</f>
        <v>1210</v>
      </c>
      <c r="AG34" s="272"/>
      <c r="AH34" s="79" t="e">
        <f>IF($H34&gt;1119,'DATOS REFERENCIALES'!#REF!,'DATOS REFERENCIALES'!#REF!/1120*$H34)</f>
        <v>#REF!</v>
      </c>
      <c r="AI34" s="106">
        <f t="shared" si="13"/>
        <v>1210</v>
      </c>
      <c r="AJ34" s="147">
        <f>'DATOS REFERENCIALES'!$C$12</f>
        <v>210</v>
      </c>
      <c r="AK34" s="79">
        <f t="shared" si="14"/>
        <v>31168</v>
      </c>
      <c r="AL34" s="638">
        <f>'DATOS REFERENCIALES'!$C$16</f>
        <v>2022.3050000000001</v>
      </c>
      <c r="AM34" s="571">
        <f t="shared" si="11"/>
        <v>475.24167499999999</v>
      </c>
      <c r="AN34" s="571">
        <f t="shared" si="12"/>
        <v>1547.0633250000001</v>
      </c>
      <c r="AO34" s="571">
        <f t="shared" si="15"/>
        <v>32715.063324999999</v>
      </c>
      <c r="AP34" s="17"/>
      <c r="AQ34" s="17"/>
      <c r="AU34" s="8"/>
    </row>
    <row r="35" spans="1:47" s="1" customFormat="1" ht="21.75" customHeight="1" x14ac:dyDescent="0.2">
      <c r="A35" s="35">
        <v>6539</v>
      </c>
      <c r="B35" s="230" t="s">
        <v>17</v>
      </c>
      <c r="C35" s="34">
        <v>0</v>
      </c>
      <c r="D35" s="23">
        <v>1</v>
      </c>
      <c r="E35" s="177"/>
      <c r="F35" s="56"/>
      <c r="G35" s="63">
        <v>56</v>
      </c>
      <c r="H35" s="48">
        <f t="shared" si="0"/>
        <v>56</v>
      </c>
      <c r="I35" s="48"/>
      <c r="J35" s="48"/>
      <c r="K35" s="89">
        <f>(H35*'DATOS REFERENCIALES'!$C$4)*D35</f>
        <v>537.36480000000006</v>
      </c>
      <c r="L35" s="89"/>
      <c r="M35" s="89"/>
      <c r="N35" s="79">
        <f>LOOKUP(C35,'TABLA ANTIG.'!$A$4:$A$39,'TABLA ANTIG.'!$B$4:$B$39)*(K35)</f>
        <v>0</v>
      </c>
      <c r="O35" s="98">
        <f t="shared" si="1"/>
        <v>53.736480000000007</v>
      </c>
      <c r="P35" s="89">
        <f>IF(D35&gt;48,'DATOS REFERENCIALES'!$D$8+('DATOS REFERENCIALES'!$F$8*10),IF(D35&lt;39,'DATOS REFERENCIALES'!$E$8*D35,((D35-'DATOS REFERENCIALES'!$I$8)*'DATOS REFERENCIALES'!$F$8)+'DATOS REFERENCIALES'!$D$8))</f>
        <v>335.89473684210526</v>
      </c>
      <c r="Q35" s="130">
        <f>LOOKUP(C35,'TABLA ANTIG.'!$A$4:$A$39,'TABLA ANTIG.'!$B$4:$B$39)*(P35)</f>
        <v>0</v>
      </c>
      <c r="R35" s="98">
        <f t="shared" si="2"/>
        <v>130.98893052631578</v>
      </c>
      <c r="S35" s="545">
        <f>IF(C35&gt;11,IF(H35&gt;1134,'DATOS REFERENCIALES'!$C$18,'DATOS REFERENCIALES'!$C$18/20*D35),0)</f>
        <v>0</v>
      </c>
      <c r="T35" s="159">
        <f t="shared" si="10"/>
        <v>1057.984947368421</v>
      </c>
      <c r="U35" s="79">
        <f t="shared" si="3"/>
        <v>116.37834421052631</v>
      </c>
      <c r="V35" s="79">
        <f t="shared" si="4"/>
        <v>31.739548421052628</v>
      </c>
      <c r="W35" s="79">
        <f t="shared" si="4"/>
        <v>31.739548421052628</v>
      </c>
      <c r="X35" s="79">
        <f t="shared" si="5"/>
        <v>21.159698947368419</v>
      </c>
      <c r="Y35" s="79">
        <f t="shared" si="6"/>
        <v>47.609322631578941</v>
      </c>
      <c r="Z35" s="27">
        <f t="shared" si="7"/>
        <v>248.62646263157893</v>
      </c>
      <c r="AA35" s="147">
        <f t="shared" si="8"/>
        <v>809.358484736842</v>
      </c>
      <c r="AB35" s="147">
        <f>IF(D35&gt;38,'DATOS REFERENCIALES'!$D$10,'DATOS REFERENCIALES'!$E$10*D35)</f>
        <v>119.47368421052632</v>
      </c>
      <c r="AC35" s="654">
        <f>IF(C35&lt;12,IF(H35&gt;1134,'DATOS REFERENCIALES'!$C$17,'DATOS REFERENCIALES'!$C$17/20*D35),0)</f>
        <v>129.19999999999999</v>
      </c>
      <c r="AD35" s="154">
        <f>IF(D35&gt;41,IF((('DATOS REFERENCIALES'!$D$9)-((T35)+(AB35)+(AC35)))&lt;0,0,((('DATOS REFERENCIALES'!$D$9)-((T35)-(Z35)+(AB35)+(AC35))))),IF((('DATOS REFERENCIALES'!$E$9*D35)-(((T35)+(AB35)+(AC35))))&lt;0,0,('DATOS REFERENCIALES'!$E$9*D35)-((T35)-(Z35)+(AB35)+(AC35))))</f>
        <v>368.8678310526318</v>
      </c>
      <c r="AE35" s="130">
        <f t="shared" si="9"/>
        <v>1426.9</v>
      </c>
      <c r="AF35" s="91">
        <f>IF(D35&gt;30,'DATOS REFERENCIALES'!$D$13,('DATOS REFERENCIALES'!$E$13*D35))</f>
        <v>80.666666666666671</v>
      </c>
      <c r="AG35" s="272"/>
      <c r="AH35" s="79" t="e">
        <f>IF(D35&gt;'DATOS REFERENCIALES'!#REF!,'DATOS REFERENCIALES'!#REF!,('DATOS REFERENCIALES'!#REF!*D35))</f>
        <v>#REF!</v>
      </c>
      <c r="AI35" s="106">
        <f t="shared" si="13"/>
        <v>80.666666666666671</v>
      </c>
      <c r="AJ35" s="147">
        <f>IF(D35&gt;'DATOS REFERENCIALES'!$I$12,'DATOS REFERENCIALES'!$D$12,'DATOS REFERENCIALES'!$E$12*D35)</f>
        <v>14</v>
      </c>
      <c r="AK35" s="79">
        <f t="shared" si="14"/>
        <v>1602.2333333333336</v>
      </c>
      <c r="AL35" s="638">
        <f>IF(D35&gt;'DATOS REFERENCIALES'!$I$16,'DATOS REFERENCIALES'!$D$16,'DATOS REFERENCIALES'!$E$16*D35)</f>
        <v>134.82033333333334</v>
      </c>
      <c r="AM35" s="571">
        <f t="shared" si="11"/>
        <v>31.682778333333331</v>
      </c>
      <c r="AN35" s="571">
        <f t="shared" si="12"/>
        <v>103.13755500000001</v>
      </c>
      <c r="AO35" s="571">
        <f t="shared" si="15"/>
        <v>1705.3708883333336</v>
      </c>
      <c r="AP35" s="17"/>
      <c r="AQ35" s="17"/>
      <c r="AU35" s="8"/>
    </row>
    <row r="36" spans="1:47" s="1" customFormat="1" ht="21.75" customHeight="1" x14ac:dyDescent="0.2">
      <c r="A36" s="35">
        <v>6540</v>
      </c>
      <c r="B36" s="230" t="s">
        <v>18</v>
      </c>
      <c r="C36" s="34">
        <v>0</v>
      </c>
      <c r="D36" s="23">
        <v>1</v>
      </c>
      <c r="E36" s="177"/>
      <c r="F36" s="56"/>
      <c r="G36" s="63">
        <v>56</v>
      </c>
      <c r="H36" s="48">
        <f t="shared" si="0"/>
        <v>56</v>
      </c>
      <c r="I36" s="48"/>
      <c r="J36" s="48"/>
      <c r="K36" s="89">
        <f>(H36*'DATOS REFERENCIALES'!$C$4)*D36</f>
        <v>537.36480000000006</v>
      </c>
      <c r="L36" s="89"/>
      <c r="M36" s="89"/>
      <c r="N36" s="79">
        <f>LOOKUP(C36,'TABLA ANTIG.'!$A$4:$A$39,'TABLA ANTIG.'!$B$4:$B$39)*(K36)</f>
        <v>0</v>
      </c>
      <c r="O36" s="98">
        <f t="shared" si="1"/>
        <v>53.736480000000007</v>
      </c>
      <c r="P36" s="89">
        <f>IF(D36&gt;48,'DATOS REFERENCIALES'!D23+('DATOS REFERENCIALES'!F23*10),IF(D36&lt;39,'DATOS REFERENCIALES'!$E$8*D36,((D36-'DATOS REFERENCIALES'!$I$8)*'DATOS REFERENCIALES'!$F$8)+'DATOS REFERENCIALES'!D23))</f>
        <v>335.89473684210526</v>
      </c>
      <c r="Q36" s="130">
        <f>LOOKUP(C36,'TABLA ANTIG.'!$A$4:$A$39,'TABLA ANTIG.'!$B$4:$B$39)*(P36)</f>
        <v>0</v>
      </c>
      <c r="R36" s="98">
        <f t="shared" si="2"/>
        <v>130.98893052631578</v>
      </c>
      <c r="S36" s="545">
        <f>IF(C36&gt;11,IF(H36&gt;1134,'DATOS REFERENCIALES'!$C$18,'DATOS REFERENCIALES'!$C$18/20*D36),0)</f>
        <v>0</v>
      </c>
      <c r="T36" s="159">
        <f t="shared" si="10"/>
        <v>1057.984947368421</v>
      </c>
      <c r="U36" s="79">
        <f t="shared" si="3"/>
        <v>116.37834421052631</v>
      </c>
      <c r="V36" s="79">
        <f t="shared" si="4"/>
        <v>31.739548421052628</v>
      </c>
      <c r="W36" s="79">
        <f t="shared" si="4"/>
        <v>31.739548421052628</v>
      </c>
      <c r="X36" s="79">
        <f t="shared" si="5"/>
        <v>21.159698947368419</v>
      </c>
      <c r="Y36" s="79">
        <f t="shared" si="6"/>
        <v>47.609322631578941</v>
      </c>
      <c r="Z36" s="27">
        <f t="shared" si="7"/>
        <v>248.62646263157893</v>
      </c>
      <c r="AA36" s="147">
        <f t="shared" si="8"/>
        <v>809.358484736842</v>
      </c>
      <c r="AB36" s="147">
        <f>IF(D36&gt;38,'DATOS REFERENCIALES'!$D$10,'DATOS REFERENCIALES'!$E$10*D36)</f>
        <v>119.47368421052632</v>
      </c>
      <c r="AC36" s="654">
        <f>IF(C36&lt;12,IF(H36&gt;1134,'DATOS REFERENCIALES'!$C$17,'DATOS REFERENCIALES'!$C$17/20*D36),0)</f>
        <v>129.19999999999999</v>
      </c>
      <c r="AD36" s="79">
        <f>IF(D36&gt;41,IF((('DATOS REFERENCIALES'!$D$9)-((T36)+(AB36)+(AC36)))&lt;0,0,((('DATOS REFERENCIALES'!$D$9)-((T36)-(Z36)+(AB36)+(AC36))))),IF((('DATOS REFERENCIALES'!$E$9*D36)-(((T36)+(AB36)+(AC36))))&lt;0,0,('DATOS REFERENCIALES'!$E$9*D36)-((T36)-(Z36)+(AB36)+(AC36))))</f>
        <v>368.8678310526318</v>
      </c>
      <c r="AE36" s="130">
        <f t="shared" si="9"/>
        <v>1426.9</v>
      </c>
      <c r="AF36" s="91">
        <f>IF(D36&gt;30,'DATOS REFERENCIALES'!$D$13,('DATOS REFERENCIALES'!$E$13*D36))</f>
        <v>80.666666666666671</v>
      </c>
      <c r="AG36" s="272"/>
      <c r="AH36" s="79" t="e">
        <f>IF(D36&gt;'DATOS REFERENCIALES'!#REF!,'DATOS REFERENCIALES'!#REF!,('DATOS REFERENCIALES'!#REF!*D36))</f>
        <v>#REF!</v>
      </c>
      <c r="AI36" s="106">
        <f t="shared" si="13"/>
        <v>80.666666666666671</v>
      </c>
      <c r="AJ36" s="147">
        <f>IF(D36&gt;'DATOS REFERENCIALES'!$I$12,'DATOS REFERENCIALES'!$D$12,'DATOS REFERENCIALES'!$E$12*D36)</f>
        <v>14</v>
      </c>
      <c r="AK36" s="79">
        <f t="shared" si="14"/>
        <v>1602.2333333333336</v>
      </c>
      <c r="AL36" s="638">
        <f>IF(D36&gt;'DATOS REFERENCIALES'!$I$16,'DATOS REFERENCIALES'!$D$16,'DATOS REFERENCIALES'!$E$16*D36)</f>
        <v>134.82033333333334</v>
      </c>
      <c r="AM36" s="571">
        <f t="shared" si="11"/>
        <v>31.682778333333331</v>
      </c>
      <c r="AN36" s="571">
        <f t="shared" si="12"/>
        <v>103.13755500000001</v>
      </c>
      <c r="AO36" s="571">
        <f t="shared" si="15"/>
        <v>1705.3708883333336</v>
      </c>
      <c r="AP36" s="17"/>
      <c r="AQ36" s="17"/>
      <c r="AU36" s="8"/>
    </row>
    <row r="37" spans="1:47" s="1" customFormat="1" ht="21.75" customHeight="1" x14ac:dyDescent="0.2">
      <c r="A37" s="35">
        <v>6541</v>
      </c>
      <c r="B37" s="230" t="s">
        <v>50</v>
      </c>
      <c r="C37" s="34">
        <v>0</v>
      </c>
      <c r="D37" s="23">
        <v>1</v>
      </c>
      <c r="E37" s="177"/>
      <c r="F37" s="56"/>
      <c r="G37" s="63">
        <v>56</v>
      </c>
      <c r="H37" s="48">
        <f t="shared" si="0"/>
        <v>56</v>
      </c>
      <c r="I37" s="48"/>
      <c r="J37" s="48"/>
      <c r="K37" s="89">
        <f>(H37*'DATOS REFERENCIALES'!$C$4)*D37</f>
        <v>537.36480000000006</v>
      </c>
      <c r="L37" s="89"/>
      <c r="M37" s="89"/>
      <c r="N37" s="79">
        <f>LOOKUP(C37,'TABLA ANTIG.'!$A$4:$A$39,'TABLA ANTIG.'!$B$4:$B$39)*(K37)</f>
        <v>0</v>
      </c>
      <c r="O37" s="98">
        <f t="shared" si="1"/>
        <v>53.736480000000007</v>
      </c>
      <c r="P37" s="89">
        <f>IF(D37&gt;48,'DATOS REFERENCIALES'!$D$8+('DATOS REFERENCIALES'!$F$8*10),IF(D37&lt;39,'DATOS REFERENCIALES'!$E$8*D37,((D37-'DATOS REFERENCIALES'!$I$8)*'DATOS REFERENCIALES'!$F$8)+'DATOS REFERENCIALES'!$D$8))</f>
        <v>335.89473684210526</v>
      </c>
      <c r="Q37" s="130">
        <f>LOOKUP(C37,'TABLA ANTIG.'!$A$4:$A$39,'TABLA ANTIG.'!$B$4:$B$39)*(P37)</f>
        <v>0</v>
      </c>
      <c r="R37" s="98">
        <f t="shared" si="2"/>
        <v>130.98893052631578</v>
      </c>
      <c r="S37" s="545">
        <f>IF(C37&gt;11,IF(H37&gt;1134,'DATOS REFERENCIALES'!$C$18,'DATOS REFERENCIALES'!$C$18/20*D37),0)</f>
        <v>0</v>
      </c>
      <c r="T37" s="159">
        <f t="shared" si="10"/>
        <v>1057.984947368421</v>
      </c>
      <c r="U37" s="79">
        <f t="shared" si="3"/>
        <v>116.37834421052631</v>
      </c>
      <c r="V37" s="79">
        <f t="shared" si="4"/>
        <v>31.739548421052628</v>
      </c>
      <c r="W37" s="79">
        <f t="shared" si="4"/>
        <v>31.739548421052628</v>
      </c>
      <c r="X37" s="79">
        <f t="shared" si="5"/>
        <v>21.159698947368419</v>
      </c>
      <c r="Y37" s="79">
        <f t="shared" si="6"/>
        <v>47.609322631578941</v>
      </c>
      <c r="Z37" s="27">
        <f t="shared" si="7"/>
        <v>248.62646263157893</v>
      </c>
      <c r="AA37" s="147">
        <f t="shared" si="8"/>
        <v>809.358484736842</v>
      </c>
      <c r="AB37" s="147">
        <f>IF(D37&gt;38,'DATOS REFERENCIALES'!$D$10,'DATOS REFERENCIALES'!$E$10*D37)</f>
        <v>119.47368421052632</v>
      </c>
      <c r="AC37" s="654">
        <f>IF(C37&lt;12,IF(H37&gt;1134,'DATOS REFERENCIALES'!$C$17,'DATOS REFERENCIALES'!$C$17/20*D37),0)</f>
        <v>129.19999999999999</v>
      </c>
      <c r="AD37" s="79">
        <f>IF(D37&gt;41,IF((('DATOS REFERENCIALES'!$D$9)-((T37)+(AB37)+(AC37)))&lt;0,0,((('DATOS REFERENCIALES'!$D$9)-((T37)-(Z37)+(AB37)+(AC37))))),IF((('DATOS REFERENCIALES'!$E$9*D37)-(((T37)+(AB37)+(AC37))))&lt;0,0,('DATOS REFERENCIALES'!$E$9*D37)-((T37)-(Z37)+(AB37)+(AC37))))</f>
        <v>368.8678310526318</v>
      </c>
      <c r="AE37" s="130">
        <f t="shared" si="9"/>
        <v>1426.9</v>
      </c>
      <c r="AF37" s="91">
        <f>IF(D37&gt;30,'DATOS REFERENCIALES'!$D$13,('DATOS REFERENCIALES'!$E$13*D37))</f>
        <v>80.666666666666671</v>
      </c>
      <c r="AG37" s="272"/>
      <c r="AH37" s="79" t="e">
        <f>IF(D37&gt;'DATOS REFERENCIALES'!#REF!,'DATOS REFERENCIALES'!#REF!,('DATOS REFERENCIALES'!#REF!*D37))</f>
        <v>#REF!</v>
      </c>
      <c r="AI37" s="106">
        <f t="shared" si="13"/>
        <v>80.666666666666671</v>
      </c>
      <c r="AJ37" s="147">
        <f>IF(D37&gt;'DATOS REFERENCIALES'!$I$12,'DATOS REFERENCIALES'!$D$12,'DATOS REFERENCIALES'!$E$12*D37)</f>
        <v>14</v>
      </c>
      <c r="AK37" s="79">
        <f t="shared" si="14"/>
        <v>1602.2333333333336</v>
      </c>
      <c r="AL37" s="638">
        <f>IF(D37&gt;'DATOS REFERENCIALES'!$I$16,'DATOS REFERENCIALES'!$D$16,'DATOS REFERENCIALES'!$E$16*D37)</f>
        <v>134.82033333333334</v>
      </c>
      <c r="AM37" s="571">
        <f t="shared" si="11"/>
        <v>31.682778333333331</v>
      </c>
      <c r="AN37" s="571">
        <f t="shared" si="12"/>
        <v>103.13755500000001</v>
      </c>
      <c r="AO37" s="571">
        <f t="shared" si="15"/>
        <v>1705.3708883333336</v>
      </c>
      <c r="AP37" s="17"/>
      <c r="AQ37" s="17"/>
      <c r="AU37" s="8"/>
    </row>
    <row r="38" spans="1:47" s="1" customFormat="1" ht="21.75" customHeight="1" x14ac:dyDescent="0.2">
      <c r="A38" s="35">
        <v>6850</v>
      </c>
      <c r="B38" s="230" t="s">
        <v>22</v>
      </c>
      <c r="C38" s="34">
        <v>0</v>
      </c>
      <c r="D38" s="23">
        <v>1</v>
      </c>
      <c r="E38" s="177"/>
      <c r="F38" s="56"/>
      <c r="G38" s="63">
        <v>56</v>
      </c>
      <c r="H38" s="48">
        <f t="shared" si="0"/>
        <v>56</v>
      </c>
      <c r="I38" s="48"/>
      <c r="J38" s="48"/>
      <c r="K38" s="89">
        <f>(H38*'DATOS REFERENCIALES'!$C$4)*D38</f>
        <v>537.36480000000006</v>
      </c>
      <c r="L38" s="89"/>
      <c r="M38" s="89"/>
      <c r="N38" s="79">
        <f>LOOKUP(C38,'TABLA ANTIG.'!$A$4:$A$39,'TABLA ANTIG.'!$B$4:$B$39)*(K38)</f>
        <v>0</v>
      </c>
      <c r="O38" s="98">
        <f t="shared" si="1"/>
        <v>53.736480000000007</v>
      </c>
      <c r="P38" s="89">
        <f>IF(D38&gt;48,'DATOS REFERENCIALES'!$D$8+('DATOS REFERENCIALES'!$F$8*10),IF(D38&lt;39,'DATOS REFERENCIALES'!$E$8*D38,((D38-'DATOS REFERENCIALES'!$I$8)*'DATOS REFERENCIALES'!$F$8)+'DATOS REFERENCIALES'!$D$8))</f>
        <v>335.89473684210526</v>
      </c>
      <c r="Q38" s="130">
        <f>LOOKUP(C38,'TABLA ANTIG.'!$A$4:$A$39,'TABLA ANTIG.'!$B$4:$B$39)*(P38)</f>
        <v>0</v>
      </c>
      <c r="R38" s="98">
        <f t="shared" si="2"/>
        <v>130.98893052631578</v>
      </c>
      <c r="S38" s="545">
        <f>IF(C38&gt;11,IF(H38&gt;1134,'DATOS REFERENCIALES'!$C$18,'DATOS REFERENCIALES'!$C$18/20*D38),0)</f>
        <v>0</v>
      </c>
      <c r="T38" s="159">
        <f t="shared" si="10"/>
        <v>1057.984947368421</v>
      </c>
      <c r="U38" s="79">
        <f t="shared" si="3"/>
        <v>116.37834421052631</v>
      </c>
      <c r="V38" s="79">
        <f t="shared" si="4"/>
        <v>31.739548421052628</v>
      </c>
      <c r="W38" s="79">
        <f t="shared" si="4"/>
        <v>31.739548421052628</v>
      </c>
      <c r="X38" s="79">
        <f t="shared" si="5"/>
        <v>21.159698947368419</v>
      </c>
      <c r="Y38" s="79">
        <f t="shared" si="6"/>
        <v>47.609322631578941</v>
      </c>
      <c r="Z38" s="27">
        <f t="shared" si="7"/>
        <v>248.62646263157893</v>
      </c>
      <c r="AA38" s="147">
        <f t="shared" si="8"/>
        <v>809.358484736842</v>
      </c>
      <c r="AB38" s="147">
        <f>IF(D38&gt;38,'DATOS REFERENCIALES'!$D$10,'DATOS REFERENCIALES'!$E$10*D38)</f>
        <v>119.47368421052632</v>
      </c>
      <c r="AC38" s="654">
        <f>IF(C38&lt;12,IF(H38&gt;1134,'DATOS REFERENCIALES'!$C$17,'DATOS REFERENCIALES'!$C$17/20*D38),0)</f>
        <v>129.19999999999999</v>
      </c>
      <c r="AD38" s="79">
        <f>IF(D38&gt;41,IF((('DATOS REFERENCIALES'!$D$9)-((T38)+(AB38)+(AC38)))&lt;0,0,((('DATOS REFERENCIALES'!$D$9)-((T38)-(Z38)+(AB38)+(AC38))))),IF((('DATOS REFERENCIALES'!$E$9*D38)-(((T38)+(AB38)+(AC38))))&lt;0,0,('DATOS REFERENCIALES'!$E$9*D38)-((T38)-(Z38)+(AB38)+(AC38))))</f>
        <v>368.8678310526318</v>
      </c>
      <c r="AE38" s="130">
        <f t="shared" si="9"/>
        <v>1426.9</v>
      </c>
      <c r="AF38" s="91">
        <f>IF(D38&gt;30,'DATOS REFERENCIALES'!$D$13,('DATOS REFERENCIALES'!$E$13*D38))</f>
        <v>80.666666666666671</v>
      </c>
      <c r="AG38" s="272"/>
      <c r="AH38" s="79" t="e">
        <f>IF(D38&gt;'DATOS REFERENCIALES'!#REF!,'DATOS REFERENCIALES'!#REF!,('DATOS REFERENCIALES'!#REF!*D38))</f>
        <v>#REF!</v>
      </c>
      <c r="AI38" s="106">
        <f t="shared" si="13"/>
        <v>80.666666666666671</v>
      </c>
      <c r="AJ38" s="147">
        <f>IF(D38&gt;'DATOS REFERENCIALES'!$I$12,'DATOS REFERENCIALES'!$D$12,'DATOS REFERENCIALES'!$E$12*D38)</f>
        <v>14</v>
      </c>
      <c r="AK38" s="79">
        <f t="shared" si="14"/>
        <v>1602.2333333333336</v>
      </c>
      <c r="AL38" s="638">
        <f>IF(D38&gt;'DATOS REFERENCIALES'!$I$16,'DATOS REFERENCIALES'!$D$16,'DATOS REFERENCIALES'!$E$16*D38)</f>
        <v>134.82033333333334</v>
      </c>
      <c r="AM38" s="571">
        <f t="shared" si="11"/>
        <v>31.682778333333331</v>
      </c>
      <c r="AN38" s="571">
        <f t="shared" si="12"/>
        <v>103.13755500000001</v>
      </c>
      <c r="AO38" s="571">
        <f t="shared" si="15"/>
        <v>1705.3708883333336</v>
      </c>
      <c r="AP38" s="17"/>
      <c r="AQ38" s="17"/>
      <c r="AU38" s="8"/>
    </row>
    <row r="39" spans="1:47" s="1" customFormat="1" ht="21.75" customHeight="1" x14ac:dyDescent="0.2">
      <c r="A39" s="35">
        <v>6546</v>
      </c>
      <c r="B39" s="230" t="s">
        <v>19</v>
      </c>
      <c r="C39" s="34">
        <v>0</v>
      </c>
      <c r="D39" s="23">
        <v>1</v>
      </c>
      <c r="E39" s="178"/>
      <c r="F39" s="34"/>
      <c r="G39" s="62">
        <v>74.67</v>
      </c>
      <c r="H39" s="49">
        <f t="shared" si="0"/>
        <v>74.67</v>
      </c>
      <c r="I39" s="49"/>
      <c r="J39" s="49"/>
      <c r="K39" s="89">
        <f>(H39*'DATOS REFERENCIALES'!$C$4)*D39</f>
        <v>716.51838600000008</v>
      </c>
      <c r="L39" s="89"/>
      <c r="M39" s="89"/>
      <c r="N39" s="79">
        <f>LOOKUP(C39,'TABLA ANTIG.'!$A$4:$A$39,'TABLA ANTIG.'!$B$4:$B$39)*(K39)</f>
        <v>0</v>
      </c>
      <c r="O39" s="98">
        <f t="shared" si="1"/>
        <v>71.651838600000005</v>
      </c>
      <c r="P39" s="89">
        <f>IF(D39&gt;48,'DATOS REFERENCIALES'!$D$8+('DATOS REFERENCIALES'!$F$8*10),IF(D39&lt;39,'DATOS REFERENCIALES'!$E$8*D39,((D39-'DATOS REFERENCIALES'!$I$8)*'DATOS REFERENCIALES'!$F$8)+'DATOS REFERENCIALES'!$D$8))</f>
        <v>335.89473684210526</v>
      </c>
      <c r="Q39" s="130">
        <f>LOOKUP(C39,'TABLA ANTIG.'!$A$4:$A$39,'TABLA ANTIG.'!$B$4:$B$39)*(P39)</f>
        <v>0</v>
      </c>
      <c r="R39" s="98">
        <f t="shared" si="2"/>
        <v>157.8619684263158</v>
      </c>
      <c r="S39" s="545">
        <f>IF(C39&gt;11,IF(H39&gt;1134,'DATOS REFERENCIALES'!$C$18,'DATOS REFERENCIALES'!$C$18/20*D39),0)</f>
        <v>0</v>
      </c>
      <c r="T39" s="159">
        <f t="shared" si="10"/>
        <v>1281.9269298684212</v>
      </c>
      <c r="U39" s="79">
        <f t="shared" si="3"/>
        <v>141.01196228552632</v>
      </c>
      <c r="V39" s="79">
        <f t="shared" si="4"/>
        <v>38.457807896052635</v>
      </c>
      <c r="W39" s="79">
        <f t="shared" si="4"/>
        <v>38.457807896052635</v>
      </c>
      <c r="X39" s="79">
        <f t="shared" si="5"/>
        <v>25.638538597368424</v>
      </c>
      <c r="Y39" s="79">
        <f t="shared" si="6"/>
        <v>57.68671184407895</v>
      </c>
      <c r="Z39" s="27">
        <f t="shared" si="7"/>
        <v>301.25282851907895</v>
      </c>
      <c r="AA39" s="147">
        <f t="shared" si="8"/>
        <v>980.67410134934221</v>
      </c>
      <c r="AB39" s="147">
        <f>IF(D39&gt;38,'DATOS REFERENCIALES'!$D$10,'DATOS REFERENCIALES'!$E$10*D39)</f>
        <v>119.47368421052632</v>
      </c>
      <c r="AC39" s="654">
        <f>IF(C39&lt;12,IF(H39&gt;1134,'DATOS REFERENCIALES'!$C$17,'DATOS REFERENCIALES'!$C$17/20*D39),0)</f>
        <v>129.19999999999999</v>
      </c>
      <c r="AD39" s="79">
        <f>IF(D39&gt;41,IF((('DATOS REFERENCIALES'!$D$9)-((T39)+(AB39)+(AC39)))&lt;0,0,((('DATOS REFERENCIALES'!$D$9)-((T39)-(Z39)+(AB39)+(AC39))))),IF((('DATOS REFERENCIALES'!$E$9*D39)-(((T39)+(AB39)+(AC39))))&lt;0,0,('DATOS REFERENCIALES'!$E$9*D39)-((T39)-(Z39)+(AB39)+(AC39))))</f>
        <v>0</v>
      </c>
      <c r="AE39" s="130">
        <f t="shared" si="9"/>
        <v>1229.3477855598685</v>
      </c>
      <c r="AF39" s="91">
        <f>IF(D39&gt;30,'DATOS REFERENCIALES'!$D$13,('DATOS REFERENCIALES'!$E$13*D39))</f>
        <v>80.666666666666671</v>
      </c>
      <c r="AG39" s="272"/>
      <c r="AH39" s="79" t="e">
        <f>IF(D39&gt;'DATOS REFERENCIALES'!#REF!,'DATOS REFERENCIALES'!#REF!,('DATOS REFERENCIALES'!#REF!*D39))</f>
        <v>#REF!</v>
      </c>
      <c r="AI39" s="106">
        <f t="shared" si="13"/>
        <v>80.666666666666671</v>
      </c>
      <c r="AJ39" s="147">
        <f>IF(D39&gt;'DATOS REFERENCIALES'!$I$12,'DATOS REFERENCIALES'!$D$12,'DATOS REFERENCIALES'!$E$12*D39)</f>
        <v>14</v>
      </c>
      <c r="AK39" s="79">
        <f t="shared" si="14"/>
        <v>1404.681118893202</v>
      </c>
      <c r="AL39" s="638">
        <f>IF(D39&gt;'DATOS REFERENCIALES'!$I$16,'DATOS REFERENCIALES'!$D$16,'DATOS REFERENCIALES'!$E$16*D39)</f>
        <v>134.82033333333334</v>
      </c>
      <c r="AM39" s="571">
        <f t="shared" si="11"/>
        <v>31.682778333333331</v>
      </c>
      <c r="AN39" s="571">
        <f t="shared" si="12"/>
        <v>103.13755500000001</v>
      </c>
      <c r="AO39" s="571">
        <f t="shared" si="15"/>
        <v>1507.818673893202</v>
      </c>
      <c r="AP39" s="17"/>
      <c r="AQ39" s="17"/>
      <c r="AU39" s="8"/>
    </row>
    <row r="40" spans="1:47" s="1" customFormat="1" ht="21.75" customHeight="1" x14ac:dyDescent="0.2">
      <c r="A40" s="119">
        <v>6571</v>
      </c>
      <c r="B40" s="229" t="s">
        <v>20</v>
      </c>
      <c r="C40" s="176">
        <v>0</v>
      </c>
      <c r="D40" s="23">
        <v>1</v>
      </c>
      <c r="E40" s="44"/>
      <c r="F40" s="64"/>
      <c r="G40" s="65">
        <v>56</v>
      </c>
      <c r="H40" s="122">
        <f t="shared" si="0"/>
        <v>56</v>
      </c>
      <c r="I40" s="122"/>
      <c r="J40" s="122"/>
      <c r="K40" s="89">
        <f>(H40*'DATOS REFERENCIALES'!$C$4)*D40</f>
        <v>537.36480000000006</v>
      </c>
      <c r="L40" s="89"/>
      <c r="M40" s="89"/>
      <c r="N40" s="79">
        <f>LOOKUP(C40,'TABLA ANTIG.'!$A$4:$A$39,'TABLA ANTIG.'!$B$4:$B$39)*(K40)</f>
        <v>0</v>
      </c>
      <c r="O40" s="98">
        <f t="shared" si="1"/>
        <v>53.736480000000007</v>
      </c>
      <c r="P40" s="89">
        <f>IF(D40&gt;48,'DATOS REFERENCIALES'!$D$8+('DATOS REFERENCIALES'!$F$8*10),IF(D40&lt;39,'DATOS REFERENCIALES'!$E$8*D40,((D40-'DATOS REFERENCIALES'!$I$8)*'DATOS REFERENCIALES'!$F$8)+'DATOS REFERENCIALES'!$D$8))</f>
        <v>335.89473684210526</v>
      </c>
      <c r="Q40" s="130">
        <f>LOOKUP(C40,'TABLA ANTIG.'!$A$4:$A$39,'TABLA ANTIG.'!$B$4:$B$39)*(P40)</f>
        <v>0</v>
      </c>
      <c r="R40" s="98">
        <f t="shared" si="2"/>
        <v>130.98893052631578</v>
      </c>
      <c r="S40" s="545">
        <f>IF(C40&gt;11,IF(H40&gt;1134,'DATOS REFERENCIALES'!$C$18,'DATOS REFERENCIALES'!$C$18/20*D40),0)</f>
        <v>0</v>
      </c>
      <c r="T40" s="159">
        <f t="shared" si="10"/>
        <v>1057.984947368421</v>
      </c>
      <c r="U40" s="79">
        <f t="shared" si="3"/>
        <v>116.37834421052631</v>
      </c>
      <c r="V40" s="79">
        <f t="shared" si="4"/>
        <v>31.739548421052628</v>
      </c>
      <c r="W40" s="79">
        <f t="shared" si="4"/>
        <v>31.739548421052628</v>
      </c>
      <c r="X40" s="79">
        <f t="shared" si="5"/>
        <v>21.159698947368419</v>
      </c>
      <c r="Y40" s="79">
        <f t="shared" si="6"/>
        <v>47.609322631578941</v>
      </c>
      <c r="Z40" s="27">
        <f t="shared" si="7"/>
        <v>248.62646263157893</v>
      </c>
      <c r="AA40" s="147">
        <f t="shared" si="8"/>
        <v>809.358484736842</v>
      </c>
      <c r="AB40" s="147">
        <f>IF(D40&gt;38,'DATOS REFERENCIALES'!$D$10,'DATOS REFERENCIALES'!$E$10*D40)</f>
        <v>119.47368421052632</v>
      </c>
      <c r="AC40" s="654">
        <f>IF(C40&lt;12,IF(H40&gt;1134,'DATOS REFERENCIALES'!$C$17,'DATOS REFERENCIALES'!$C$17/20*D40),0)</f>
        <v>129.19999999999999</v>
      </c>
      <c r="AD40" s="79">
        <f>IF(D40&gt;41,IF((('DATOS REFERENCIALES'!$D$9)-((T40)+(AB40)+(AC40)))&lt;0,0,((('DATOS REFERENCIALES'!$D$9)-((T40)-(Z40)+(AB40)+(AC40))))),IF((('DATOS REFERENCIALES'!$E$9*D40)-(((T40)+(AB40)+(AC40))))&lt;0,0,('DATOS REFERENCIALES'!$E$9*D40)-((T40)-(Z40)+(AB40)+(AC40))))</f>
        <v>368.8678310526318</v>
      </c>
      <c r="AE40" s="130">
        <f t="shared" si="9"/>
        <v>1426.9</v>
      </c>
      <c r="AF40" s="91">
        <f>IF(D40&gt;30,'DATOS REFERENCIALES'!$D$13,('DATOS REFERENCIALES'!$E$13*D40))</f>
        <v>80.666666666666671</v>
      </c>
      <c r="AG40" s="272"/>
      <c r="AH40" s="79" t="e">
        <f>IF(D40&gt;'DATOS REFERENCIALES'!#REF!,'DATOS REFERENCIALES'!#REF!,('DATOS REFERENCIALES'!#REF!*D40))</f>
        <v>#REF!</v>
      </c>
      <c r="AI40" s="106">
        <f t="shared" si="13"/>
        <v>80.666666666666671</v>
      </c>
      <c r="AJ40" s="147">
        <f>IF(D40&gt;'DATOS REFERENCIALES'!$I$12,'DATOS REFERENCIALES'!$D$12,'DATOS REFERENCIALES'!$E$12*D40)</f>
        <v>14</v>
      </c>
      <c r="AK40" s="79">
        <f t="shared" si="14"/>
        <v>1602.2333333333336</v>
      </c>
      <c r="AL40" s="638">
        <f>IF(D40&gt;'DATOS REFERENCIALES'!$I$16,'DATOS REFERENCIALES'!$D$16,'DATOS REFERENCIALES'!$E$16*D40)</f>
        <v>134.82033333333334</v>
      </c>
      <c r="AM40" s="571">
        <f t="shared" si="11"/>
        <v>31.682778333333331</v>
      </c>
      <c r="AN40" s="571">
        <f t="shared" si="12"/>
        <v>103.13755500000001</v>
      </c>
      <c r="AO40" s="571">
        <f t="shared" si="15"/>
        <v>1705.3708883333336</v>
      </c>
      <c r="AP40" s="17"/>
      <c r="AQ40" s="17"/>
      <c r="AU40" s="8"/>
    </row>
    <row r="41" spans="1:47" s="1" customFormat="1" ht="21.75" customHeight="1" x14ac:dyDescent="0.2">
      <c r="A41" s="35">
        <v>6508</v>
      </c>
      <c r="B41" s="231" t="s">
        <v>58</v>
      </c>
      <c r="C41" s="34">
        <v>0</v>
      </c>
      <c r="D41" s="23">
        <v>1</v>
      </c>
      <c r="E41" s="177"/>
      <c r="F41" s="56"/>
      <c r="G41" s="63">
        <v>56</v>
      </c>
      <c r="H41" s="48">
        <f t="shared" si="0"/>
        <v>56</v>
      </c>
      <c r="I41" s="48"/>
      <c r="J41" s="48"/>
      <c r="K41" s="89">
        <f>(H41*'DATOS REFERENCIALES'!$C$4)*D41</f>
        <v>537.36480000000006</v>
      </c>
      <c r="L41" s="89"/>
      <c r="M41" s="89"/>
      <c r="N41" s="79">
        <f>LOOKUP(C41,'TABLA ANTIG.'!$A$4:$A$39,'TABLA ANTIG.'!$B$4:$B$39)*(K41)</f>
        <v>0</v>
      </c>
      <c r="O41" s="98">
        <f t="shared" si="1"/>
        <v>53.736480000000007</v>
      </c>
      <c r="P41" s="89">
        <f>IF(D41&gt;48,'DATOS REFERENCIALES'!$D$8+('DATOS REFERENCIALES'!$F$8*10),IF(D41&lt;39,'DATOS REFERENCIALES'!$E$8*D41,((D41-'DATOS REFERENCIALES'!$I$8)*'DATOS REFERENCIALES'!$F$8)+'DATOS REFERENCIALES'!$D$8))</f>
        <v>335.89473684210526</v>
      </c>
      <c r="Q41" s="130">
        <f>LOOKUP(C41,'TABLA ANTIG.'!$A$4:$A$39,'TABLA ANTIG.'!$B$4:$B$39)*(P41)</f>
        <v>0</v>
      </c>
      <c r="R41" s="98">
        <f t="shared" si="2"/>
        <v>130.98893052631578</v>
      </c>
      <c r="S41" s="545">
        <f>IF(C41&gt;11,IF(H41&gt;1134,'DATOS REFERENCIALES'!$C$18,'DATOS REFERENCIALES'!$C$18/20*D41),0)</f>
        <v>0</v>
      </c>
      <c r="T41" s="159">
        <f t="shared" si="10"/>
        <v>1057.984947368421</v>
      </c>
      <c r="U41" s="79">
        <f t="shared" si="3"/>
        <v>116.37834421052631</v>
      </c>
      <c r="V41" s="79">
        <f t="shared" si="4"/>
        <v>31.739548421052628</v>
      </c>
      <c r="W41" s="79">
        <f t="shared" si="4"/>
        <v>31.739548421052628</v>
      </c>
      <c r="X41" s="79">
        <f t="shared" si="5"/>
        <v>21.159698947368419</v>
      </c>
      <c r="Y41" s="79">
        <f t="shared" si="6"/>
        <v>47.609322631578941</v>
      </c>
      <c r="Z41" s="27">
        <f t="shared" si="7"/>
        <v>248.62646263157893</v>
      </c>
      <c r="AA41" s="147">
        <f t="shared" si="8"/>
        <v>809.358484736842</v>
      </c>
      <c r="AB41" s="147">
        <f>IF(D41&gt;38,'DATOS REFERENCIALES'!$D$10,'DATOS REFERENCIALES'!$E$10*D41)</f>
        <v>119.47368421052632</v>
      </c>
      <c r="AC41" s="654">
        <f>IF(C41&lt;12,IF(H41&gt;1134,'DATOS REFERENCIALES'!$C$17,'DATOS REFERENCIALES'!$C$17/20*D41),0)</f>
        <v>129.19999999999999</v>
      </c>
      <c r="AD41" s="79">
        <f>IF(D41&gt;41,IF((('DATOS REFERENCIALES'!$D$9)-((T41)+(AB41)+(AC41)))&lt;0,0,((('DATOS REFERENCIALES'!$D$9)-((T41)-(Z41)+(AB41)+(AC41))))),IF((('DATOS REFERENCIALES'!$E$9*D41)-(((T41)+(AB41)+(AC41))))&lt;0,0,('DATOS REFERENCIALES'!$E$9*D41)-((T41)-(Z41)+(AB41)+(AC41))))</f>
        <v>368.8678310526318</v>
      </c>
      <c r="AE41" s="130">
        <f t="shared" si="9"/>
        <v>1426.9</v>
      </c>
      <c r="AF41" s="91">
        <f>IF(D41&gt;30,'DATOS REFERENCIALES'!$D$13,('DATOS REFERENCIALES'!$E$13*D41))</f>
        <v>80.666666666666671</v>
      </c>
      <c r="AG41" s="272"/>
      <c r="AH41" s="79" t="e">
        <f>IF(D41&gt;'DATOS REFERENCIALES'!#REF!,'DATOS REFERENCIALES'!#REF!,('DATOS REFERENCIALES'!#REF!*D41))</f>
        <v>#REF!</v>
      </c>
      <c r="AI41" s="106">
        <f t="shared" si="13"/>
        <v>80.666666666666671</v>
      </c>
      <c r="AJ41" s="147">
        <f>IF(D41&gt;'DATOS REFERENCIALES'!$I$12,'DATOS REFERENCIALES'!$D$12,'DATOS REFERENCIALES'!$E$12*D41)</f>
        <v>14</v>
      </c>
      <c r="AK41" s="79">
        <f t="shared" si="14"/>
        <v>1602.2333333333336</v>
      </c>
      <c r="AL41" s="638">
        <f>IF(D41&gt;'DATOS REFERENCIALES'!$I$16,'DATOS REFERENCIALES'!$D$16,'DATOS REFERENCIALES'!$E$16*D41)</f>
        <v>134.82033333333334</v>
      </c>
      <c r="AM41" s="571">
        <f t="shared" si="11"/>
        <v>31.682778333333331</v>
      </c>
      <c r="AN41" s="571">
        <f t="shared" si="12"/>
        <v>103.13755500000001</v>
      </c>
      <c r="AO41" s="571">
        <f t="shared" si="15"/>
        <v>1705.3708883333336</v>
      </c>
      <c r="AP41" s="17"/>
      <c r="AQ41" s="17"/>
      <c r="AU41" s="8"/>
    </row>
    <row r="42" spans="1:47" s="1" customFormat="1" ht="21.75" customHeight="1" thickBot="1" x14ac:dyDescent="0.25">
      <c r="A42" s="57">
        <v>6536</v>
      </c>
      <c r="B42" s="232" t="s">
        <v>95</v>
      </c>
      <c r="C42" s="54">
        <v>0</v>
      </c>
      <c r="D42" s="24">
        <v>1</v>
      </c>
      <c r="E42" s="179"/>
      <c r="F42" s="54"/>
      <c r="G42" s="66">
        <v>56</v>
      </c>
      <c r="H42" s="110">
        <f t="shared" si="0"/>
        <v>56</v>
      </c>
      <c r="I42" s="110"/>
      <c r="J42" s="110"/>
      <c r="K42" s="90">
        <f>(H42*'DATOS REFERENCIALES'!$C$4)*D42</f>
        <v>537.36480000000006</v>
      </c>
      <c r="L42" s="90"/>
      <c r="M42" s="90"/>
      <c r="N42" s="80">
        <f>LOOKUP(C42,'TABLA ANTIG.'!$A$4:$A$39,'TABLA ANTIG.'!$B$4:$B$39)*(K42)</f>
        <v>0</v>
      </c>
      <c r="O42" s="99">
        <f t="shared" si="1"/>
        <v>53.736480000000007</v>
      </c>
      <c r="P42" s="90">
        <f>IF(D42&gt;48,'DATOS REFERENCIALES'!$D$8+('DATOS REFERENCIALES'!$F$8*10),IF(D42&lt;39,'DATOS REFERENCIALES'!$E$8*D42,((D42-'DATOS REFERENCIALES'!$I$8)*'DATOS REFERENCIALES'!$F$8)+'DATOS REFERENCIALES'!$D$8))</f>
        <v>335.89473684210526</v>
      </c>
      <c r="Q42" s="131">
        <f>LOOKUP(C42,'TABLA ANTIG.'!$A$4:$A$39,'TABLA ANTIG.'!$B$4:$B$39)*(P42)</f>
        <v>0</v>
      </c>
      <c r="R42" s="99">
        <f t="shared" si="2"/>
        <v>130.98893052631578</v>
      </c>
      <c r="S42" s="551">
        <f>IF(C42&gt;11,IF(H42&gt;1134,'DATOS REFERENCIALES'!$C$18,'DATOS REFERENCIALES'!$C$18/20*D42),0)</f>
        <v>0</v>
      </c>
      <c r="T42" s="206">
        <f t="shared" si="10"/>
        <v>1057.984947368421</v>
      </c>
      <c r="U42" s="80">
        <f t="shared" si="3"/>
        <v>116.37834421052631</v>
      </c>
      <c r="V42" s="80">
        <f t="shared" si="4"/>
        <v>31.739548421052628</v>
      </c>
      <c r="W42" s="80">
        <f t="shared" si="4"/>
        <v>31.739548421052628</v>
      </c>
      <c r="X42" s="80">
        <f t="shared" si="5"/>
        <v>21.159698947368419</v>
      </c>
      <c r="Y42" s="80">
        <f t="shared" si="6"/>
        <v>47.609322631578941</v>
      </c>
      <c r="Z42" s="28">
        <f t="shared" si="7"/>
        <v>248.62646263157893</v>
      </c>
      <c r="AA42" s="150">
        <f t="shared" si="8"/>
        <v>809.358484736842</v>
      </c>
      <c r="AB42" s="549">
        <f>IF(D42&gt;38,'DATOS REFERENCIALES'!$D$10,'DATOS REFERENCIALES'!$E$10*D42)</f>
        <v>119.47368421052632</v>
      </c>
      <c r="AC42" s="655">
        <f>IF(C42&lt;12,IF(H42&gt;1134,'DATOS REFERENCIALES'!$C$17,'DATOS REFERENCIALES'!$C$17/20*D42),0)</f>
        <v>129.19999999999999</v>
      </c>
      <c r="AD42" s="80">
        <f>IF(D42&gt;41,IF((('DATOS REFERENCIALES'!$D$9)-((T42)+(AB42)+(AC42)))&lt;0,0,((('DATOS REFERENCIALES'!$D$9)-((T42)-(Z42)+(AB42)+(AC42))))),IF((('DATOS REFERENCIALES'!$E$9*D42)-(((T42)+(AB42)+(AC42))))&lt;0,0,('DATOS REFERENCIALES'!$E$9*D42)-((T42)-(Z42)+(AB42)+(AC42))))</f>
        <v>368.8678310526318</v>
      </c>
      <c r="AE42" s="170">
        <f t="shared" si="9"/>
        <v>1426.9</v>
      </c>
      <c r="AF42" s="92">
        <f>IF(D42&gt;30,'DATOS REFERENCIALES'!$D$13,('DATOS REFERENCIALES'!$E$13*D42))</f>
        <v>80.666666666666671</v>
      </c>
      <c r="AG42" s="270"/>
      <c r="AH42" s="80" t="e">
        <f>IF(D42&gt;'DATOS REFERENCIALES'!#REF!,'DATOS REFERENCIALES'!#REF!,('DATOS REFERENCIALES'!#REF!*D42))</f>
        <v>#REF!</v>
      </c>
      <c r="AI42" s="148">
        <f t="shared" si="13"/>
        <v>80.666666666666671</v>
      </c>
      <c r="AJ42" s="150">
        <f>IF(D42&gt;'DATOS REFERENCIALES'!$I$12,'DATOS REFERENCIALES'!$D$12,'DATOS REFERENCIALES'!$E$12*D42)</f>
        <v>14</v>
      </c>
      <c r="AK42" s="80">
        <f t="shared" si="14"/>
        <v>1602.2333333333336</v>
      </c>
      <c r="AL42" s="639">
        <f>IF(D42&gt;'DATOS REFERENCIALES'!$I$16,'DATOS REFERENCIALES'!$D$16,'DATOS REFERENCIALES'!$E$16*D42)</f>
        <v>134.82033333333334</v>
      </c>
      <c r="AM42" s="563">
        <f t="shared" si="11"/>
        <v>31.682778333333331</v>
      </c>
      <c r="AN42" s="563">
        <f t="shared" si="12"/>
        <v>103.13755500000001</v>
      </c>
      <c r="AO42" s="563">
        <f t="shared" si="15"/>
        <v>1705.3708883333336</v>
      </c>
      <c r="AP42" s="17"/>
      <c r="AQ42" s="17"/>
      <c r="AU42" s="8"/>
    </row>
    <row r="43" spans="1:47" s="1" customFormat="1" ht="18.75" customHeight="1" x14ac:dyDescent="0.2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608"/>
      <c r="AD43" s="20"/>
      <c r="AE43" s="13"/>
      <c r="AF43" s="13"/>
      <c r="AG43" s="13"/>
      <c r="AH43" s="13"/>
      <c r="AI43" s="608"/>
      <c r="AJ43" s="13"/>
      <c r="AK43" s="13"/>
      <c r="AL43" s="13"/>
      <c r="AM43" s="13"/>
      <c r="AN43" s="13"/>
      <c r="AO43" s="16"/>
      <c r="AP43" s="17"/>
      <c r="AQ43" s="17"/>
      <c r="AU43" s="8"/>
    </row>
  </sheetData>
  <mergeCells count="72">
    <mergeCell ref="Q9:Q10"/>
    <mergeCell ref="O9:O10"/>
    <mergeCell ref="AG9:AG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K3:AA5"/>
    <mergeCell ref="U9:Y9"/>
    <mergeCell ref="AB9:AB10"/>
    <mergeCell ref="AD9:AD10"/>
    <mergeCell ref="L9:L10"/>
    <mergeCell ref="M9:M10"/>
    <mergeCell ref="A6:AK6"/>
    <mergeCell ref="K9:K10"/>
    <mergeCell ref="AH9:AH10"/>
    <mergeCell ref="Z9:Z10"/>
    <mergeCell ref="A7:AK7"/>
    <mergeCell ref="D9:D10"/>
    <mergeCell ref="T9:T10"/>
    <mergeCell ref="A8:D8"/>
    <mergeCell ref="AA9:AA10"/>
    <mergeCell ref="AF9:AF10"/>
    <mergeCell ref="AD8:AK8"/>
    <mergeCell ref="AK9:AK10"/>
    <mergeCell ref="AJ9:AJ10"/>
    <mergeCell ref="AL9:AL10"/>
    <mergeCell ref="AM9:AM10"/>
    <mergeCell ref="AE9:AE10"/>
    <mergeCell ref="AO15:AO16"/>
    <mergeCell ref="AO13:AO14"/>
    <mergeCell ref="AN13:AN14"/>
    <mergeCell ref="AM13:AM14"/>
    <mergeCell ref="AN9:AN10"/>
    <mergeCell ref="AO9:AO10"/>
    <mergeCell ref="AM11:AM12"/>
    <mergeCell ref="AN11:AN12"/>
    <mergeCell ref="AO11:AO12"/>
    <mergeCell ref="AO22:AO23"/>
    <mergeCell ref="AL17:AL18"/>
    <mergeCell ref="AM17:AM18"/>
    <mergeCell ref="AN17:AN18"/>
    <mergeCell ref="AO17:AO18"/>
    <mergeCell ref="AL19:AL20"/>
    <mergeCell ref="AM19:AM20"/>
    <mergeCell ref="AN19:AN20"/>
    <mergeCell ref="AO19:AO20"/>
    <mergeCell ref="AC9:AC10"/>
    <mergeCell ref="AI9:AI10"/>
    <mergeCell ref="AL22:AL23"/>
    <mergeCell ref="AM22:AM23"/>
    <mergeCell ref="AN22:AN23"/>
    <mergeCell ref="AL13:AL14"/>
    <mergeCell ref="AL15:AL16"/>
    <mergeCell ref="AM15:AM16"/>
    <mergeCell ref="AN15:AN16"/>
    <mergeCell ref="AL11:AL12"/>
    <mergeCell ref="AK22:AK23"/>
    <mergeCell ref="AK11:AK12"/>
    <mergeCell ref="AK13:AK14"/>
    <mergeCell ref="AK15:AK16"/>
    <mergeCell ref="AK17:AK18"/>
    <mergeCell ref="AK19:AK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'DATOS REFERENCIALES'!$C$39:$C$41</xm:f>
          </x14:formula1>
          <xm:sqref>J18</xm:sqref>
        </x14:dataValidation>
        <x14:dataValidation type="list" allowBlank="1" showInputMessage="1" showErrorMessage="1">
          <x14:formula1>
            <xm:f>'DATOS REFERENCIALES'!$C$39:$C$41</xm:f>
          </x14:formula1>
          <xm:sqref>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63"/>
  <sheetViews>
    <sheetView zoomScale="66" zoomScaleNormal="66" workbookViewId="0">
      <selection activeCell="B14" sqref="B14"/>
    </sheetView>
  </sheetViews>
  <sheetFormatPr baseColWidth="10" defaultRowHeight="12.75" x14ac:dyDescent="0.2"/>
  <cols>
    <col min="1" max="1" width="8.7109375" bestFit="1" customWidth="1"/>
    <col min="2" max="2" width="39.5703125" bestFit="1" customWidth="1"/>
    <col min="4" max="4" width="10.140625" customWidth="1"/>
    <col min="5" max="5" width="13.140625" hidden="1" customWidth="1"/>
    <col min="6" max="7" width="0" hidden="1" customWidth="1"/>
    <col min="9" max="10" width="14" customWidth="1"/>
    <col min="11" max="11" width="15.28515625" customWidth="1"/>
    <col min="12" max="12" width="14.7109375" customWidth="1"/>
    <col min="13" max="13" width="15.28515625" customWidth="1"/>
    <col min="14" max="14" width="17.42578125" customWidth="1"/>
    <col min="15" max="15" width="18.5703125" customWidth="1"/>
    <col min="16" max="16" width="15.7109375" customWidth="1"/>
    <col min="17" max="17" width="16.5703125" customWidth="1"/>
    <col min="18" max="18" width="11.42578125" hidden="1" customWidth="1"/>
    <col min="19" max="19" width="14.7109375" customWidth="1"/>
    <col min="20" max="20" width="15" customWidth="1"/>
    <col min="21" max="21" width="14" customWidth="1"/>
    <col min="22" max="22" width="14.140625" customWidth="1"/>
    <col min="23" max="23" width="15.28515625" customWidth="1"/>
    <col min="24" max="24" width="14" customWidth="1"/>
    <col min="25" max="25" width="13.5703125" customWidth="1"/>
    <col min="26" max="26" width="15.140625" customWidth="1"/>
    <col min="27" max="27" width="15.7109375" customWidth="1"/>
    <col min="28" max="29" width="17.7109375" customWidth="1"/>
    <col min="30" max="30" width="15.28515625" customWidth="1"/>
    <col min="31" max="31" width="15.42578125" customWidth="1"/>
    <col min="32" max="32" width="14.42578125" customWidth="1"/>
    <col min="33" max="33" width="16.42578125" hidden="1" customWidth="1"/>
    <col min="34" max="34" width="14.42578125" hidden="1" customWidth="1"/>
    <col min="35" max="36" width="14.42578125" customWidth="1"/>
    <col min="37" max="37" width="15.5703125" customWidth="1"/>
    <col min="38" max="38" width="13.5703125" customWidth="1"/>
    <col min="40" max="40" width="13.85546875" customWidth="1"/>
    <col min="41" max="41" width="16" customWidth="1"/>
  </cols>
  <sheetData>
    <row r="1" spans="1:47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8"/>
      <c r="AD1" s="13"/>
      <c r="AE1" s="13"/>
      <c r="AF1" s="13"/>
      <c r="AG1" s="13"/>
      <c r="AH1" s="13"/>
      <c r="AI1" s="608"/>
      <c r="AJ1" s="13"/>
      <c r="AK1" s="13"/>
      <c r="AL1" s="13"/>
      <c r="AM1" s="13"/>
    </row>
    <row r="2" spans="1:47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8"/>
      <c r="AD2" s="13"/>
      <c r="AE2" s="13"/>
      <c r="AF2" s="13"/>
      <c r="AG2" s="13"/>
      <c r="AH2" s="13"/>
      <c r="AI2" s="608"/>
      <c r="AJ2" s="13"/>
      <c r="AK2" s="13"/>
      <c r="AL2" s="13"/>
      <c r="AM2" s="13"/>
    </row>
    <row r="3" spans="1:47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702" t="s">
        <v>82</v>
      </c>
      <c r="L3" s="702"/>
      <c r="M3" s="702"/>
      <c r="N3" s="702"/>
      <c r="O3" s="702"/>
      <c r="P3" s="702"/>
      <c r="Q3" s="702"/>
      <c r="R3" s="702"/>
      <c r="S3" s="702"/>
      <c r="T3" s="702"/>
      <c r="U3" s="702"/>
      <c r="V3" s="702"/>
      <c r="W3" s="702"/>
      <c r="X3" s="702"/>
      <c r="Y3" s="702"/>
      <c r="Z3" s="702"/>
      <c r="AA3" s="702"/>
      <c r="AB3" s="13"/>
      <c r="AC3" s="608"/>
      <c r="AD3" s="13"/>
      <c r="AE3" s="13"/>
      <c r="AF3" s="13"/>
      <c r="AG3" s="13"/>
      <c r="AH3" s="13"/>
      <c r="AI3" s="608"/>
      <c r="AJ3" s="13"/>
      <c r="AK3" s="13"/>
      <c r="AL3" s="13"/>
      <c r="AM3" s="13"/>
    </row>
    <row r="4" spans="1:47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13"/>
      <c r="AC4" s="608"/>
      <c r="AD4" s="13"/>
      <c r="AE4" s="13"/>
      <c r="AF4" s="13"/>
      <c r="AG4" s="13"/>
      <c r="AH4" s="13"/>
      <c r="AI4" s="608"/>
      <c r="AJ4" s="13"/>
      <c r="AK4" s="13"/>
      <c r="AL4" s="13"/>
      <c r="AM4" s="13"/>
    </row>
    <row r="5" spans="1:47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13"/>
      <c r="AC5" s="608"/>
      <c r="AD5" s="13"/>
      <c r="AE5" s="13"/>
      <c r="AF5" s="13"/>
      <c r="AG5" s="13"/>
      <c r="AH5" s="13"/>
      <c r="AI5" s="608"/>
      <c r="AJ5" s="13"/>
      <c r="AK5" s="13"/>
      <c r="AL5" s="13"/>
      <c r="AM5" s="13"/>
    </row>
    <row r="6" spans="1:47" s="1" customFormat="1" ht="27.75" x14ac:dyDescent="0.4">
      <c r="A6" s="703" t="s">
        <v>198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  <c r="AK6" s="703"/>
      <c r="AL6" s="13"/>
      <c r="AM6" s="13"/>
    </row>
    <row r="7" spans="1:47" s="1" customFormat="1" ht="18.75" thickBot="1" x14ac:dyDescent="0.3">
      <c r="A7" s="704" t="s">
        <v>83</v>
      </c>
      <c r="B7" s="705"/>
      <c r="C7" s="705"/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5"/>
      <c r="Q7" s="705"/>
      <c r="R7" s="705"/>
      <c r="S7" s="705"/>
      <c r="T7" s="705"/>
      <c r="U7" s="705"/>
      <c r="V7" s="705"/>
      <c r="W7" s="705"/>
      <c r="X7" s="705"/>
      <c r="Y7" s="705"/>
      <c r="Z7" s="705"/>
      <c r="AA7" s="705"/>
      <c r="AB7" s="705"/>
      <c r="AC7" s="705"/>
      <c r="AD7" s="705"/>
      <c r="AE7" s="705"/>
      <c r="AF7" s="765"/>
      <c r="AG7" s="13"/>
      <c r="AH7" s="13"/>
      <c r="AI7" s="608"/>
      <c r="AJ7" s="13"/>
      <c r="AK7" s="13"/>
      <c r="AL7" s="13"/>
      <c r="AM7" s="13"/>
    </row>
    <row r="8" spans="1:47" ht="21" thickBot="1" x14ac:dyDescent="0.35">
      <c r="A8" s="766" t="s">
        <v>132</v>
      </c>
      <c r="B8" s="767"/>
      <c r="C8" s="767"/>
      <c r="D8" s="767"/>
      <c r="E8" s="767"/>
      <c r="F8" s="767"/>
      <c r="G8" s="767"/>
      <c r="H8" s="767"/>
      <c r="I8" s="767"/>
      <c r="J8" s="767"/>
      <c r="K8" s="767"/>
      <c r="L8" s="767"/>
      <c r="M8" s="767"/>
      <c r="N8" s="767"/>
      <c r="O8" s="767"/>
      <c r="P8" s="767"/>
      <c r="Q8" s="767"/>
      <c r="R8" s="767"/>
      <c r="S8" s="767"/>
      <c r="T8" s="767"/>
      <c r="U8" s="767"/>
      <c r="V8" s="767"/>
      <c r="W8" s="767"/>
      <c r="X8" s="767"/>
      <c r="Y8" s="767"/>
      <c r="Z8" s="767"/>
      <c r="AA8" s="767"/>
      <c r="AB8" s="767"/>
      <c r="AC8" s="767"/>
      <c r="AD8" s="767"/>
      <c r="AE8" s="767"/>
      <c r="AF8" s="767"/>
      <c r="AG8" s="767"/>
      <c r="AH8" s="767"/>
      <c r="AI8" s="767"/>
      <c r="AJ8" s="767"/>
      <c r="AK8" s="767"/>
      <c r="AM8" s="566">
        <v>0.23499999999999999</v>
      </c>
    </row>
    <row r="9" spans="1:47" s="2" customFormat="1" ht="26.25" customHeight="1" thickBot="1" x14ac:dyDescent="0.25">
      <c r="A9" s="726" t="s">
        <v>1</v>
      </c>
      <c r="B9" s="726" t="s">
        <v>0</v>
      </c>
      <c r="C9" s="658" t="s">
        <v>77</v>
      </c>
      <c r="D9" s="658" t="s">
        <v>119</v>
      </c>
      <c r="E9" s="658" t="s">
        <v>127</v>
      </c>
      <c r="F9" s="658" t="s">
        <v>113</v>
      </c>
      <c r="G9" s="658" t="s">
        <v>102</v>
      </c>
      <c r="H9" s="658" t="s">
        <v>79</v>
      </c>
      <c r="I9" s="658" t="s">
        <v>147</v>
      </c>
      <c r="J9" s="684" t="s">
        <v>146</v>
      </c>
      <c r="K9" s="684" t="s">
        <v>121</v>
      </c>
      <c r="L9" s="684" t="s">
        <v>145</v>
      </c>
      <c r="M9" s="684" t="s">
        <v>146</v>
      </c>
      <c r="N9" s="686" t="s">
        <v>85</v>
      </c>
      <c r="O9" s="686" t="s">
        <v>120</v>
      </c>
      <c r="P9" s="697" t="s">
        <v>86</v>
      </c>
      <c r="Q9" s="686" t="s">
        <v>101</v>
      </c>
      <c r="R9" s="686" t="s">
        <v>84</v>
      </c>
      <c r="S9" s="658" t="s">
        <v>209</v>
      </c>
      <c r="T9" s="686" t="s">
        <v>69</v>
      </c>
      <c r="U9" s="701" t="s">
        <v>59</v>
      </c>
      <c r="V9" s="701"/>
      <c r="W9" s="701"/>
      <c r="X9" s="701"/>
      <c r="Y9" s="701"/>
      <c r="Z9" s="658" t="s">
        <v>68</v>
      </c>
      <c r="AA9" s="658" t="s">
        <v>89</v>
      </c>
      <c r="AB9" s="658" t="s">
        <v>88</v>
      </c>
      <c r="AC9" s="658" t="s">
        <v>208</v>
      </c>
      <c r="AD9" s="658" t="s">
        <v>87</v>
      </c>
      <c r="AE9" s="658" t="s">
        <v>91</v>
      </c>
      <c r="AF9" s="658" t="s">
        <v>90</v>
      </c>
      <c r="AG9" s="658" t="s">
        <v>173</v>
      </c>
      <c r="AH9" s="658" t="s">
        <v>190</v>
      </c>
      <c r="AI9" s="658" t="s">
        <v>196</v>
      </c>
      <c r="AJ9" s="696" t="s">
        <v>174</v>
      </c>
      <c r="AK9" s="658" t="s">
        <v>92</v>
      </c>
      <c r="AL9" s="658" t="s">
        <v>186</v>
      </c>
      <c r="AM9" s="682" t="s">
        <v>68</v>
      </c>
      <c r="AN9" s="658" t="s">
        <v>188</v>
      </c>
      <c r="AO9" s="658" t="s">
        <v>189</v>
      </c>
      <c r="AP9" s="17"/>
      <c r="AQ9" s="17"/>
    </row>
    <row r="10" spans="1:47" s="2" customFormat="1" ht="87.75" customHeight="1" thickBot="1" x14ac:dyDescent="0.25">
      <c r="A10" s="768"/>
      <c r="B10" s="768"/>
      <c r="C10" s="659"/>
      <c r="D10" s="659"/>
      <c r="E10" s="659"/>
      <c r="F10" s="659"/>
      <c r="G10" s="659"/>
      <c r="H10" s="659"/>
      <c r="I10" s="679"/>
      <c r="J10" s="685"/>
      <c r="K10" s="769"/>
      <c r="L10" s="769"/>
      <c r="M10" s="769"/>
      <c r="N10" s="719"/>
      <c r="O10" s="719"/>
      <c r="P10" s="698"/>
      <c r="Q10" s="719"/>
      <c r="R10" s="719"/>
      <c r="S10" s="679"/>
      <c r="T10" s="719"/>
      <c r="U10" s="97" t="s">
        <v>140</v>
      </c>
      <c r="V10" s="97" t="s">
        <v>61</v>
      </c>
      <c r="W10" s="97" t="s">
        <v>62</v>
      </c>
      <c r="X10" s="97" t="s">
        <v>63</v>
      </c>
      <c r="Y10" s="97" t="s">
        <v>64</v>
      </c>
      <c r="Z10" s="659"/>
      <c r="AA10" s="659"/>
      <c r="AB10" s="659"/>
      <c r="AC10" s="659"/>
      <c r="AD10" s="679"/>
      <c r="AE10" s="659"/>
      <c r="AF10" s="659"/>
      <c r="AG10" s="679"/>
      <c r="AH10" s="679"/>
      <c r="AI10" s="679"/>
      <c r="AJ10" s="679"/>
      <c r="AK10" s="659"/>
      <c r="AL10" s="679"/>
      <c r="AM10" s="683"/>
      <c r="AN10" s="679"/>
      <c r="AO10" s="679"/>
      <c r="AP10" s="17"/>
      <c r="AQ10" s="17"/>
    </row>
    <row r="11" spans="1:47" s="1" customFormat="1" ht="21.75" customHeight="1" thickBot="1" x14ac:dyDescent="0.25">
      <c r="A11" s="234">
        <v>572</v>
      </c>
      <c r="B11" s="235" t="s">
        <v>81</v>
      </c>
      <c r="C11" s="36">
        <v>0</v>
      </c>
      <c r="D11" s="36"/>
      <c r="E11" s="36"/>
      <c r="F11" s="36"/>
      <c r="G11" s="61">
        <v>810</v>
      </c>
      <c r="H11" s="50">
        <f t="shared" ref="H11:H29" si="0">SUM(G11:G11)</f>
        <v>810</v>
      </c>
      <c r="I11" s="50"/>
      <c r="J11" s="50"/>
      <c r="K11" s="103">
        <f>H11*'DATOS REFERENCIALES'!$C$4</f>
        <v>7772.5980000000009</v>
      </c>
      <c r="L11" s="236"/>
      <c r="M11" s="236"/>
      <c r="N11" s="237">
        <f>LOOKUP(C11,'TABLA ANTIG.'!$A$4:$A$39,'TABLA ANTIG.'!$B$4:$B$39)*(K11)</f>
        <v>0</v>
      </c>
      <c r="O11" s="238">
        <f t="shared" ref="O11:O29" si="1">K11*0.1</f>
        <v>777.25980000000015</v>
      </c>
      <c r="P11" s="103">
        <f>'DATOS REFERENCIALES'!$C$8</f>
        <v>6382</v>
      </c>
      <c r="Q11" s="239">
        <f>LOOKUP(C11,'TABLA ANTIG.'!$A$4:$A$39,'TABLA ANTIG.'!$B$4:$B$39)*(P11)</f>
        <v>0</v>
      </c>
      <c r="R11" s="595">
        <v>0</v>
      </c>
      <c r="S11" s="545">
        <f>IF(C11&gt;11,IF(H11&gt;1134,'DATOS REFERENCIALES'!$C$18,'DATOS REFERENCIALES'!$C$18/1135*H11),0)</f>
        <v>0</v>
      </c>
      <c r="T11" s="202">
        <f>K11+N11+O11+P11+Q11+R11+S11</f>
        <v>14931.857800000002</v>
      </c>
      <c r="U11" s="240">
        <f t="shared" ref="U11:U29" si="2">$T11*11%</f>
        <v>1642.5043580000001</v>
      </c>
      <c r="V11" s="240">
        <f t="shared" ref="V11:W29" si="3">$T11*3%</f>
        <v>447.95573400000001</v>
      </c>
      <c r="W11" s="240">
        <f t="shared" si="3"/>
        <v>447.95573400000001</v>
      </c>
      <c r="X11" s="240">
        <f t="shared" ref="X11:X29" si="4">$T11*2%</f>
        <v>298.63715600000006</v>
      </c>
      <c r="Y11" s="240">
        <f t="shared" ref="Y11:Y29" si="5">$T11*4.5%</f>
        <v>671.93360100000007</v>
      </c>
      <c r="Z11" s="202">
        <f t="shared" ref="Z11:Z29" si="6">SUM(U11:Y11)</f>
        <v>3508.9865830000008</v>
      </c>
      <c r="AA11" s="228">
        <f t="shared" ref="AA11:AA29" si="7">T11-Z11</f>
        <v>11422.871217</v>
      </c>
      <c r="AB11" s="241">
        <f>'DATOS REFERENCIALES'!$C$10</f>
        <v>2270</v>
      </c>
      <c r="AC11" s="545">
        <f>IF(C11&lt;12,IF(H11&gt;1134,'DATOS REFERENCIALES'!$C$17,'DATOS REFERENCIALES'!$C$17/1135*H11),0)</f>
        <v>1844.0881057268721</v>
      </c>
      <c r="AD11" s="107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4829.3666684625532</v>
      </c>
      <c r="AE11" s="239">
        <f t="shared" ref="AE11:AE29" si="8">SUM(AA11:AD11)</f>
        <v>20366.325991189427</v>
      </c>
      <c r="AF11" s="186">
        <f>'DATOS REFERENCIALES'!$C$13</f>
        <v>1210</v>
      </c>
      <c r="AG11" s="273"/>
      <c r="AH11" s="239" t="e">
        <f>IF($H11&gt;1119,'DATOS REFERENCIALES'!#REF!,'DATOS REFERENCIALES'!#REF!/1120*$H11)</f>
        <v>#REF!</v>
      </c>
      <c r="AI11" s="239">
        <f>+AF11</f>
        <v>1210</v>
      </c>
      <c r="AJ11" s="196">
        <f>'DATOS REFERENCIALES'!$C$12</f>
        <v>210</v>
      </c>
      <c r="AK11" s="196">
        <f>+AE11+AF11+AI11+AJ11</f>
        <v>22996.325991189427</v>
      </c>
      <c r="AL11" s="583">
        <f>'DATOS REFERENCIALES'!C16</f>
        <v>2022.3050000000001</v>
      </c>
      <c r="AM11" s="584">
        <f>AL11*$AM$8</f>
        <v>475.24167499999999</v>
      </c>
      <c r="AN11" s="583">
        <f>AL11-AM11</f>
        <v>1547.0633250000001</v>
      </c>
      <c r="AO11" s="583">
        <f>AK11+AN11</f>
        <v>24543.389316189427</v>
      </c>
      <c r="AP11" s="17"/>
      <c r="AQ11" s="17"/>
      <c r="AU11" s="8"/>
    </row>
    <row r="12" spans="1:47" s="1" customFormat="1" ht="21.75" customHeight="1" x14ac:dyDescent="0.2">
      <c r="A12" s="365">
        <v>603</v>
      </c>
      <c r="B12" s="406" t="s">
        <v>23</v>
      </c>
      <c r="C12" s="337">
        <v>0</v>
      </c>
      <c r="D12" s="337"/>
      <c r="E12" s="337"/>
      <c r="F12" s="337"/>
      <c r="G12" s="473">
        <v>3128</v>
      </c>
      <c r="H12" s="437">
        <f>SUM(G12:G12)</f>
        <v>3128</v>
      </c>
      <c r="I12" s="626"/>
      <c r="J12" s="437"/>
      <c r="K12" s="342">
        <f>H12*'DATOS REFERENCIALES'!$C$4</f>
        <v>30015.662400000001</v>
      </c>
      <c r="L12" s="367"/>
      <c r="M12" s="367"/>
      <c r="N12" s="347">
        <f>LOOKUP(C12,'TABLA ANTIG.'!$A$4:$A$39,'TABLA ANTIG.'!$B$4:$B$39)*(K12)</f>
        <v>0</v>
      </c>
      <c r="O12" s="347">
        <f t="shared" si="1"/>
        <v>3001.5662400000001</v>
      </c>
      <c r="P12" s="342">
        <f>'DATOS REFERENCIALES'!$C$8</f>
        <v>6382</v>
      </c>
      <c r="Q12" s="348">
        <f>LOOKUP(C12,'TABLA ANTIG.'!$A$4:$A$39,'TABLA ANTIG.'!$B$4:$B$39)*(P12)</f>
        <v>0</v>
      </c>
      <c r="R12" s="344">
        <v>0</v>
      </c>
      <c r="S12" s="344">
        <f>IF(C12&gt;11,IF(H12&gt;1134,'DATOS REFERENCIALES'!$C$18,'DATOS REFERENCIALES'!$C$18/1135*H12),0)</f>
        <v>0</v>
      </c>
      <c r="T12" s="344">
        <f>K12+N12+O12+P12+Q12+R12+S12</f>
        <v>39399.228640000001</v>
      </c>
      <c r="U12" s="344">
        <f t="shared" si="2"/>
        <v>4333.9151504000001</v>
      </c>
      <c r="V12" s="344">
        <f t="shared" si="3"/>
        <v>1181.9768592</v>
      </c>
      <c r="W12" s="344">
        <f t="shared" si="3"/>
        <v>1181.9768592</v>
      </c>
      <c r="X12" s="344">
        <f t="shared" si="4"/>
        <v>787.98457280000002</v>
      </c>
      <c r="Y12" s="344">
        <f t="shared" si="5"/>
        <v>1772.9652888000001</v>
      </c>
      <c r="Z12" s="344">
        <f t="shared" si="6"/>
        <v>9258.8187304000003</v>
      </c>
      <c r="AA12" s="347">
        <f t="shared" si="7"/>
        <v>30140.409909599999</v>
      </c>
      <c r="AB12" s="347">
        <f>'DATOS REFERENCIALES'!$C$10</f>
        <v>2270</v>
      </c>
      <c r="AC12" s="347">
        <f>IF(C12&lt;12,IF(H12&gt;1134,'DATOS REFERENCIALES'!$C$17,'DATOS REFERENCIALES'!$C$17/1135*H12),0)</f>
        <v>2584</v>
      </c>
      <c r="AD12" s="633">
        <f>IF((IF(H12&gt;1134,('DATOS REFERENCIALES'!$C$9-(T12-U12-V12-W12-X12-Y12+AB12+AC12-L12-L12*0.235)),(('DATOS REFERENCIALES'!$C$9/1135)*H12)-(K12+N12+O12+P12+Q12+S12-U12-V12-W12-X12-Y12+AB12+AC12-(L12-L12*0.235))))&lt;0,0,IF(H12&gt;1134,(('DATOS REFERENCIALES'!$C$9)-(T12-U12-V12-W12-X12-Y12+AB12+AC12-(L12-L12*0.235))),(('DATOS REFERENCIALES'!$C$9/1135)*H12)-(K12+N12+O12+P12+Q12+S12-U12-V12-W12-X12-Y12+AB12+AC12-(L12-L12*0.235))))</f>
        <v>0</v>
      </c>
      <c r="AE12" s="348">
        <f t="shared" si="8"/>
        <v>34994.409909599999</v>
      </c>
      <c r="AF12" s="349">
        <f>'DATOS REFERENCIALES'!$C$13</f>
        <v>1210</v>
      </c>
      <c r="AG12" s="370"/>
      <c r="AH12" s="348" t="e">
        <f>IF($H12&gt;1119,'DATOS REFERENCIALES'!#REF!,'DATOS REFERENCIALES'!#REF!/1120*$H12)</f>
        <v>#REF!</v>
      </c>
      <c r="AI12" s="348">
        <f>+AF12</f>
        <v>1210</v>
      </c>
      <c r="AJ12" s="344">
        <f>'DATOS REFERENCIALES'!$C$12</f>
        <v>210</v>
      </c>
      <c r="AK12" s="676">
        <f>+AE12+AE13+AF12+AI12+AJ12</f>
        <v>42297.173192875998</v>
      </c>
      <c r="AL12" s="753">
        <f>'DATOS REFERENCIALES'!C16</f>
        <v>2022.3050000000001</v>
      </c>
      <c r="AM12" s="753">
        <f t="shared" ref="AM12:AM29" si="9">AL12*$AM$8</f>
        <v>475.24167499999999</v>
      </c>
      <c r="AN12" s="753">
        <f t="shared" ref="AN12:AN29" si="10">AL12-AM12</f>
        <v>1547.0633250000001</v>
      </c>
      <c r="AO12" s="674">
        <f>AK12+AN12</f>
        <v>43844.236517876001</v>
      </c>
      <c r="AP12" s="17"/>
      <c r="AQ12" s="17"/>
      <c r="AU12" s="8"/>
    </row>
    <row r="13" spans="1:47" s="1" customFormat="1" ht="24.75" customHeight="1" thickBot="1" x14ac:dyDescent="0.25">
      <c r="A13" s="371">
        <v>603</v>
      </c>
      <c r="B13" s="408" t="s">
        <v>23</v>
      </c>
      <c r="C13" s="352">
        <f>IF(C12&gt;0,C12,0)</f>
        <v>0</v>
      </c>
      <c r="D13" s="352"/>
      <c r="E13" s="352"/>
      <c r="F13" s="352"/>
      <c r="G13" s="474"/>
      <c r="H13" s="475"/>
      <c r="I13" s="614">
        <f>234.6/'DATOS REFERENCIALES'!$I$4*'DATOS REFERENCIALES'!$J$4</f>
        <v>390.99999999999994</v>
      </c>
      <c r="J13" s="356" t="s">
        <v>149</v>
      </c>
      <c r="K13" s="357"/>
      <c r="L13" s="357">
        <f>I13*'DATOS REFERENCIALES'!$C$4</f>
        <v>3751.9577999999997</v>
      </c>
      <c r="M13" s="357">
        <f>IF(J13='DATOS REFERENCIALES'!$C$31,K12*'DATOS REFERENCIALES'!$D$31,IF(J13='DATOS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REFERENCIALES'!$D$37*K12),IF(J13='DATOS REFERENCIALES'!$C$38,('DATOS REFERENCIALES'!$D$38*K12),0))))))))</f>
        <v>1800.939744</v>
      </c>
      <c r="N13" s="359">
        <f>LOOKUP(C13,'TABLA ANTIG.'!$A$4:$A$39,'TABLA ANTIG.'!$B$4:$B$39)*(L13+M13)</f>
        <v>0</v>
      </c>
      <c r="O13" s="359">
        <f>(L13+M13)*0.1</f>
        <v>555.28975439999999</v>
      </c>
      <c r="P13" s="357"/>
      <c r="Q13" s="359"/>
      <c r="R13" s="359"/>
      <c r="S13" s="359"/>
      <c r="T13" s="359">
        <f>L13+M13+N13+O13+P13+Q13+R13</f>
        <v>6108.1872983999992</v>
      </c>
      <c r="U13" s="362">
        <f t="shared" si="2"/>
        <v>671.90060282399998</v>
      </c>
      <c r="V13" s="359">
        <f t="shared" si="3"/>
        <v>183.24561895199997</v>
      </c>
      <c r="W13" s="362">
        <f t="shared" si="3"/>
        <v>183.24561895199997</v>
      </c>
      <c r="X13" s="359">
        <f>$T13*2%</f>
        <v>122.16374596799999</v>
      </c>
      <c r="Y13" s="359">
        <f t="shared" si="5"/>
        <v>274.86842842799996</v>
      </c>
      <c r="Z13" s="359">
        <f t="shared" si="6"/>
        <v>1435.4240151239999</v>
      </c>
      <c r="AA13" s="363">
        <f t="shared" si="7"/>
        <v>4672.7632832759991</v>
      </c>
      <c r="AB13" s="362"/>
      <c r="AC13" s="362"/>
      <c r="AD13" s="359"/>
      <c r="AE13" s="358">
        <f t="shared" si="8"/>
        <v>4672.7632832759991</v>
      </c>
      <c r="AF13" s="364"/>
      <c r="AG13" s="376"/>
      <c r="AH13" s="358"/>
      <c r="AI13" s="358"/>
      <c r="AJ13" s="359"/>
      <c r="AK13" s="677"/>
      <c r="AL13" s="754"/>
      <c r="AM13" s="754"/>
      <c r="AN13" s="754"/>
      <c r="AO13" s="675"/>
      <c r="AP13" s="17"/>
      <c r="AQ13" s="17"/>
      <c r="AU13" s="8"/>
    </row>
    <row r="14" spans="1:47" s="1" customFormat="1" ht="21.75" customHeight="1" x14ac:dyDescent="0.2">
      <c r="A14" s="395">
        <v>1515</v>
      </c>
      <c r="B14" s="275" t="s">
        <v>24</v>
      </c>
      <c r="C14" s="276">
        <v>0</v>
      </c>
      <c r="D14" s="276"/>
      <c r="E14" s="276"/>
      <c r="F14" s="276"/>
      <c r="G14" s="476">
        <v>2669</v>
      </c>
      <c r="H14" s="462">
        <f t="shared" si="0"/>
        <v>2669</v>
      </c>
      <c r="I14" s="628"/>
      <c r="J14" s="462"/>
      <c r="K14" s="477">
        <f>H14*'DATOS REFERENCIALES'!$C$4</f>
        <v>25611.190200000001</v>
      </c>
      <c r="L14" s="478"/>
      <c r="M14" s="478"/>
      <c r="N14" s="479">
        <f>LOOKUP(C14,'TABLA ANTIG.'!$A$4:$A$39,'TABLA ANTIG.'!$B$4:$B$39)*(K14)</f>
        <v>0</v>
      </c>
      <c r="O14" s="479">
        <f t="shared" si="1"/>
        <v>2561.1190200000001</v>
      </c>
      <c r="P14" s="477">
        <f>'DATOS REFERENCIALES'!$C$8</f>
        <v>6382</v>
      </c>
      <c r="Q14" s="480">
        <f>LOOKUP(C14,'TABLA ANTIG.'!$A$4:$A$39,'TABLA ANTIG.'!$B$4:$B$39)*(P14)</f>
        <v>0</v>
      </c>
      <c r="R14" s="481">
        <v>0</v>
      </c>
      <c r="S14" s="280">
        <f>IF(C14&gt;11,IF(H14&gt;1134,'DATOS REFERENCIALES'!$C$18,'DATOS REFERENCIALES'!$C$18/1135*H14),0)</f>
        <v>0</v>
      </c>
      <c r="T14" s="481">
        <f>K14+N14+O14+P14+Q14+R14+S14</f>
        <v>34554.309220000003</v>
      </c>
      <c r="U14" s="481">
        <f t="shared" si="2"/>
        <v>3800.9740142000005</v>
      </c>
      <c r="V14" s="481">
        <f t="shared" si="3"/>
        <v>1036.6292766000001</v>
      </c>
      <c r="W14" s="481">
        <f t="shared" si="3"/>
        <v>1036.6292766000001</v>
      </c>
      <c r="X14" s="481">
        <f t="shared" si="4"/>
        <v>691.08618440000009</v>
      </c>
      <c r="Y14" s="481">
        <f t="shared" si="5"/>
        <v>1554.9439149</v>
      </c>
      <c r="Z14" s="481">
        <f t="shared" si="6"/>
        <v>8120.2626667000004</v>
      </c>
      <c r="AA14" s="479">
        <f t="shared" si="7"/>
        <v>26434.046553300002</v>
      </c>
      <c r="AB14" s="479">
        <f>'DATOS REFERENCIALES'!$C$10</f>
        <v>2270</v>
      </c>
      <c r="AC14" s="283">
        <f>IF(C14&lt;12,IF(H14&gt;1134,'DATOS REFERENCIALES'!$C$17,'DATOS REFERENCIALES'!$C$17/1135*H14),0)</f>
        <v>2584</v>
      </c>
      <c r="AD14" s="415">
        <f>IF((IF(H14&gt;1134,('DATOS REFERENCIALES'!$C$9-(T14-U14-V14-W14-X14-Y14+AB14+AC14-L14-L14*0.235)),(('DATOS REFERENCIALES'!$C$9/1135)*H14)-(K14+N14+O14+P14+Q14+S14-U14-V14-W14-X14-Y14+AB14+AC14-(L14-L14*0.235))))&lt;0,0,IF(H14&gt;1134,(('DATOS REFERENCIALES'!$C$9)-(T14-U14-V14-W14-X14-Y14+AB14+AC14-(L14-L14*0.235))),(('DATOS REFERENCIALES'!$C$9/1135)*H14)-(K14+N14+O14+P14+Q14+S14-U14-V14-W14-X14-Y14+AB14+AC14-(L14-L14*0.235))))</f>
        <v>0</v>
      </c>
      <c r="AE14" s="480">
        <f t="shared" si="8"/>
        <v>31288.046553300002</v>
      </c>
      <c r="AF14" s="532">
        <f>'DATOS REFERENCIALES'!$C$13</f>
        <v>1210</v>
      </c>
      <c r="AG14" s="399"/>
      <c r="AH14" s="282" t="e">
        <f>IF($H14&gt;1119,'DATOS REFERENCIALES'!#REF!,'DATOS REFERENCIALES'!#REF!/1120*$H14)</f>
        <v>#REF!</v>
      </c>
      <c r="AI14" s="480">
        <f>+AF14</f>
        <v>1210</v>
      </c>
      <c r="AJ14" s="481">
        <f>'DATOS REFERENCIALES'!$C$12</f>
        <v>210</v>
      </c>
      <c r="AK14" s="664">
        <f>+AE14+AE15+AF14+AI14+AJ14</f>
        <v>36612.090913010004</v>
      </c>
      <c r="AL14" s="755">
        <f>'DATOS REFERENCIALES'!C16</f>
        <v>2022.3050000000001</v>
      </c>
      <c r="AM14" s="755">
        <f t="shared" si="9"/>
        <v>475.24167499999999</v>
      </c>
      <c r="AN14" s="755">
        <f t="shared" si="10"/>
        <v>1547.0633250000001</v>
      </c>
      <c r="AO14" s="666">
        <f>AK14+AN14</f>
        <v>38159.154238010007</v>
      </c>
      <c r="AP14" s="17"/>
      <c r="AQ14" s="17"/>
      <c r="AU14" s="8"/>
    </row>
    <row r="15" spans="1:47" s="1" customFormat="1" ht="21.75" customHeight="1" thickBot="1" x14ac:dyDescent="0.25">
      <c r="A15" s="400">
        <v>1515</v>
      </c>
      <c r="B15" s="417" t="s">
        <v>24</v>
      </c>
      <c r="C15" s="288">
        <f>IF(C14&gt;0,C14,0)</f>
        <v>0</v>
      </c>
      <c r="D15" s="328"/>
      <c r="E15" s="328"/>
      <c r="F15" s="328"/>
      <c r="G15" s="482"/>
      <c r="H15" s="483"/>
      <c r="I15" s="621">
        <f>200.18/'DATOS REFERENCIALES'!$I$4*'DATOS REFERENCIALES'!$J$4</f>
        <v>333.63333333333338</v>
      </c>
      <c r="J15" s="484"/>
      <c r="K15" s="332"/>
      <c r="L15" s="332">
        <f>I15*'DATOS REFERENCIALES'!$C$4</f>
        <v>3201.4787400000005</v>
      </c>
      <c r="M15" s="332"/>
      <c r="N15" s="299">
        <f>LOOKUP(C15,'TABLA ANTIG.'!$A$4:$A$39,'TABLA ANTIG.'!$B$4:$B$39)*(L15+M15)</f>
        <v>0</v>
      </c>
      <c r="O15" s="299">
        <f>(L15+M15)*0.1</f>
        <v>320.14787400000006</v>
      </c>
      <c r="P15" s="332"/>
      <c r="Q15" s="299"/>
      <c r="R15" s="299"/>
      <c r="S15" s="333"/>
      <c r="T15" s="299">
        <f>L15+M15+N15+O15+P15+Q15+R15</f>
        <v>3521.6266140000007</v>
      </c>
      <c r="U15" s="333">
        <f t="shared" si="2"/>
        <v>387.37892754000006</v>
      </c>
      <c r="V15" s="299">
        <f t="shared" si="3"/>
        <v>105.64879842000002</v>
      </c>
      <c r="W15" s="333">
        <f t="shared" si="3"/>
        <v>105.64879842000002</v>
      </c>
      <c r="X15" s="299">
        <f>$T15*2%</f>
        <v>70.432532280000018</v>
      </c>
      <c r="Y15" s="299">
        <f t="shared" si="5"/>
        <v>158.47319763000002</v>
      </c>
      <c r="Z15" s="299">
        <f t="shared" si="6"/>
        <v>827.58225429000026</v>
      </c>
      <c r="AA15" s="334">
        <f t="shared" si="7"/>
        <v>2694.0443597100002</v>
      </c>
      <c r="AB15" s="333"/>
      <c r="AC15" s="652"/>
      <c r="AD15" s="294"/>
      <c r="AE15" s="297">
        <f t="shared" si="8"/>
        <v>2694.0443597100002</v>
      </c>
      <c r="AF15" s="526"/>
      <c r="AG15" s="405"/>
      <c r="AH15" s="297"/>
      <c r="AI15" s="544"/>
      <c r="AJ15" s="299"/>
      <c r="AK15" s="715"/>
      <c r="AL15" s="756"/>
      <c r="AM15" s="759"/>
      <c r="AN15" s="759"/>
      <c r="AO15" s="716"/>
      <c r="AP15" s="17"/>
      <c r="AQ15" s="17"/>
      <c r="AU15" s="8"/>
    </row>
    <row r="16" spans="1:47" s="1" customFormat="1" ht="21.75" customHeight="1" x14ac:dyDescent="0.2">
      <c r="A16" s="160">
        <v>1532</v>
      </c>
      <c r="B16" s="161" t="s">
        <v>25</v>
      </c>
      <c r="C16" s="119">
        <v>0</v>
      </c>
      <c r="D16" s="119"/>
      <c r="E16" s="119"/>
      <c r="F16" s="119"/>
      <c r="G16" s="242">
        <v>1924</v>
      </c>
      <c r="H16" s="243">
        <v>2070</v>
      </c>
      <c r="I16" s="631"/>
      <c r="J16" s="243"/>
      <c r="K16" s="89">
        <f>H16*'DATOS REFERENCIALES'!$C$4</f>
        <v>19863.306</v>
      </c>
      <c r="L16" s="187"/>
      <c r="M16" s="187"/>
      <c r="N16" s="111">
        <f>LOOKUP(C16,'TABLA ANTIG.'!$A$4:$A$39,'TABLA ANTIG.'!$B$4:$B$39)*(K16)</f>
        <v>0</v>
      </c>
      <c r="O16" s="98">
        <f t="shared" si="1"/>
        <v>1986.3306000000002</v>
      </c>
      <c r="P16" s="89">
        <f>'DATOS REFERENCIALES'!$C$8</f>
        <v>6382</v>
      </c>
      <c r="Q16" s="130">
        <f>LOOKUP(C16,'TABLA ANTIG.'!$A$4:$A$39,'TABLA ANTIG.'!$B$4:$B$39)*(P16)</f>
        <v>0</v>
      </c>
      <c r="R16" s="98">
        <v>0</v>
      </c>
      <c r="S16" s="543">
        <f>IF(C16&gt;11,IF(H16&gt;1134,'DATOS REFERENCIALES'!$C$18,'DATOS REFERENCIALES'!$C$18/1135*H16),0)</f>
        <v>0</v>
      </c>
      <c r="T16" s="550">
        <f t="shared" ref="T16:T29" si="11">K16+N16+O16+P16+Q16+R16+S16</f>
        <v>28231.636600000002</v>
      </c>
      <c r="U16" s="27">
        <f t="shared" si="2"/>
        <v>3105.4800260000002</v>
      </c>
      <c r="V16" s="27">
        <f t="shared" si="3"/>
        <v>846.94909800000005</v>
      </c>
      <c r="W16" s="27">
        <f t="shared" si="3"/>
        <v>846.94909800000005</v>
      </c>
      <c r="X16" s="27">
        <f t="shared" si="4"/>
        <v>564.63273200000003</v>
      </c>
      <c r="Y16" s="27">
        <f t="shared" si="5"/>
        <v>1270.4236470000001</v>
      </c>
      <c r="Z16" s="27">
        <f t="shared" si="6"/>
        <v>6634.4346010000008</v>
      </c>
      <c r="AA16" s="147">
        <f t="shared" si="7"/>
        <v>21597.201999000001</v>
      </c>
      <c r="AB16" s="147">
        <f>'DATOS REFERENCIALES'!$C$10</f>
        <v>2270</v>
      </c>
      <c r="AC16" s="653">
        <f>IF(C16&lt;12,IF(H16&gt;1134,'DATOS REFERENCIALES'!$C$17,'DATOS REFERENCIALES'!$C$17/1135*H16),0)</f>
        <v>2584</v>
      </c>
      <c r="AD16" s="78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2086.7980009999992</v>
      </c>
      <c r="AE16" s="130">
        <f t="shared" si="8"/>
        <v>28538</v>
      </c>
      <c r="AF16" s="91">
        <f>'DATOS REFERENCIALES'!$C$13</f>
        <v>1210</v>
      </c>
      <c r="AG16" s="271"/>
      <c r="AH16" s="579" t="e">
        <f>IF($H16&gt;1119,'DATOS REFERENCIALES'!#REF!,'DATOS REFERENCIALES'!#REF!/1120*$H16)</f>
        <v>#REF!</v>
      </c>
      <c r="AI16" s="78">
        <f>+AF16</f>
        <v>1210</v>
      </c>
      <c r="AJ16" s="151">
        <f>'DATOS REFERENCIALES'!$C$12</f>
        <v>210</v>
      </c>
      <c r="AK16" s="78">
        <f>+AE16+AF16+AI16+AJ16</f>
        <v>31168</v>
      </c>
      <c r="AL16" s="580">
        <f>'DATOS REFERENCIALES'!C16</f>
        <v>2022.3050000000001</v>
      </c>
      <c r="AM16" s="586">
        <f t="shared" si="9"/>
        <v>475.24167499999999</v>
      </c>
      <c r="AN16" s="585">
        <f t="shared" si="10"/>
        <v>1547.0633250000001</v>
      </c>
      <c r="AO16" s="580">
        <f t="shared" ref="AO16:AO29" si="12">AK16+AN16</f>
        <v>32715.063324999999</v>
      </c>
      <c r="AP16" s="17"/>
      <c r="AQ16" s="17"/>
      <c r="AU16" s="8"/>
    </row>
    <row r="17" spans="1:47" s="1" customFormat="1" ht="21.75" customHeight="1" x14ac:dyDescent="0.2">
      <c r="A17" s="74">
        <v>1534</v>
      </c>
      <c r="B17" s="100" t="s">
        <v>26</v>
      </c>
      <c r="C17" s="119">
        <v>0</v>
      </c>
      <c r="D17" s="35"/>
      <c r="E17" s="35"/>
      <c r="F17" s="35"/>
      <c r="G17" s="62">
        <v>1451</v>
      </c>
      <c r="H17" s="49">
        <f t="shared" si="0"/>
        <v>1451</v>
      </c>
      <c r="I17" s="49"/>
      <c r="J17" s="49"/>
      <c r="K17" s="89">
        <f>H17*'DATOS REFERENCIALES'!$C$4</f>
        <v>13923.505800000001</v>
      </c>
      <c r="L17" s="187"/>
      <c r="M17" s="187"/>
      <c r="N17" s="111">
        <f>LOOKUP(C17,'TABLA ANTIG.'!$A$4:$A$39,'TABLA ANTIG.'!$B$4:$B$39)*(K17)</f>
        <v>0</v>
      </c>
      <c r="O17" s="98">
        <f t="shared" si="1"/>
        <v>1392.3505800000003</v>
      </c>
      <c r="P17" s="89">
        <f>'DATOS REFERENCIALES'!$C$8</f>
        <v>6382</v>
      </c>
      <c r="Q17" s="130">
        <f>LOOKUP(C17,'TABLA ANTIG.'!$A$4:$A$39,'TABLA ANTIG.'!$B$4:$B$39)*(P17)</f>
        <v>0</v>
      </c>
      <c r="R17" s="98">
        <v>0</v>
      </c>
      <c r="S17" s="545">
        <f>IF(C17&gt;11,IF(H17&gt;1134,'DATOS REFERENCIALES'!$C$18,'DATOS REFERENCIALES'!$C$18/1135*H17),0)</f>
        <v>0</v>
      </c>
      <c r="T17" s="159">
        <f t="shared" si="11"/>
        <v>21697.856380000001</v>
      </c>
      <c r="U17" s="27">
        <f t="shared" si="2"/>
        <v>2386.7642018000001</v>
      </c>
      <c r="V17" s="27">
        <f t="shared" si="3"/>
        <v>650.9356914</v>
      </c>
      <c r="W17" s="27">
        <f t="shared" si="3"/>
        <v>650.9356914</v>
      </c>
      <c r="X17" s="27">
        <f t="shared" si="4"/>
        <v>433.95712760000004</v>
      </c>
      <c r="Y17" s="27">
        <f t="shared" si="5"/>
        <v>976.40353709999999</v>
      </c>
      <c r="Z17" s="27">
        <f t="shared" si="6"/>
        <v>5098.9962493000003</v>
      </c>
      <c r="AA17" s="147">
        <f t="shared" si="7"/>
        <v>16598.860130699999</v>
      </c>
      <c r="AB17" s="147">
        <f>'DATOS REFERENCIALES'!$C$10</f>
        <v>2270</v>
      </c>
      <c r="AC17" s="654">
        <f>IF(C17&lt;12,IF(H17&gt;1134,'DATOS REFERENCIALES'!$C$17,'DATOS REFERENCIALES'!$C$17/1135*H17),0)</f>
        <v>2584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7085.139869300001</v>
      </c>
      <c r="AE17" s="130">
        <f t="shared" si="8"/>
        <v>28538</v>
      </c>
      <c r="AF17" s="91">
        <f>'DATOS REFERENCIALES'!$C$13</f>
        <v>1210</v>
      </c>
      <c r="AG17" s="272"/>
      <c r="AH17" s="147" t="e">
        <f>IF($H17&gt;1119,'DATOS REFERENCIALES'!#REF!,'DATOS REFERENCIALES'!#REF!/1120*$H17)</f>
        <v>#REF!</v>
      </c>
      <c r="AI17" s="79">
        <f t="shared" ref="AI17:AI29" si="13">+AF17</f>
        <v>1210</v>
      </c>
      <c r="AJ17" s="151">
        <f>'DATOS REFERENCIALES'!$C$12</f>
        <v>210</v>
      </c>
      <c r="AK17" s="79">
        <f t="shared" ref="AK17:AK29" si="14">+AE17+AF17+AI17+AJ17</f>
        <v>31168</v>
      </c>
      <c r="AL17" s="581">
        <f>'DATOS REFERENCIALES'!$C$16</f>
        <v>2022.3050000000001</v>
      </c>
      <c r="AM17" s="588">
        <f t="shared" si="9"/>
        <v>475.24167499999999</v>
      </c>
      <c r="AN17" s="587">
        <f t="shared" si="10"/>
        <v>1547.0633250000001</v>
      </c>
      <c r="AO17" s="581">
        <f t="shared" si="12"/>
        <v>32715.063324999999</v>
      </c>
      <c r="AP17" s="17"/>
      <c r="AQ17" s="17"/>
      <c r="AU17" s="8"/>
    </row>
    <row r="18" spans="1:47" s="1" customFormat="1" ht="21.75" customHeight="1" x14ac:dyDescent="0.2">
      <c r="A18" s="74">
        <v>1556</v>
      </c>
      <c r="B18" s="100" t="s">
        <v>27</v>
      </c>
      <c r="C18" s="119">
        <v>0</v>
      </c>
      <c r="D18" s="35"/>
      <c r="E18" s="35"/>
      <c r="F18" s="35"/>
      <c r="G18" s="62">
        <v>1120</v>
      </c>
      <c r="H18" s="599">
        <v>1135</v>
      </c>
      <c r="I18" s="49"/>
      <c r="J18" s="49"/>
      <c r="K18" s="89">
        <f>H18*'DATOS REFERENCIALES'!$C$4</f>
        <v>10891.233</v>
      </c>
      <c r="L18" s="187"/>
      <c r="M18" s="187"/>
      <c r="N18" s="111">
        <f>LOOKUP(C18,'TABLA ANTIG.'!$A$4:$A$39,'TABLA ANTIG.'!$B$4:$B$39)*(K18)</f>
        <v>0</v>
      </c>
      <c r="O18" s="98">
        <f t="shared" si="1"/>
        <v>1089.1233</v>
      </c>
      <c r="P18" s="89">
        <f>'DATOS REFERENCIALES'!$C$8</f>
        <v>6382</v>
      </c>
      <c r="Q18" s="130">
        <f>LOOKUP(C18,'TABLA ANTIG.'!$A$4:$A$39,'TABLA ANTIG.'!$B$4:$B$39)*(P18)</f>
        <v>0</v>
      </c>
      <c r="R18" s="98">
        <v>0</v>
      </c>
      <c r="S18" s="545">
        <f>IF(C18&gt;11,IF(H18&gt;1134,'DATOS REFERENCIALES'!$C$18,'DATOS REFERENCIALES'!$C$18/1135*H18),0)</f>
        <v>0</v>
      </c>
      <c r="T18" s="159">
        <f t="shared" si="11"/>
        <v>18362.356299999999</v>
      </c>
      <c r="U18" s="27">
        <f t="shared" si="2"/>
        <v>2019.859193</v>
      </c>
      <c r="V18" s="27">
        <f t="shared" si="3"/>
        <v>550.87068899999997</v>
      </c>
      <c r="W18" s="27">
        <f t="shared" si="3"/>
        <v>550.87068899999997</v>
      </c>
      <c r="X18" s="27">
        <f t="shared" si="4"/>
        <v>367.24712599999998</v>
      </c>
      <c r="Y18" s="27">
        <f t="shared" si="5"/>
        <v>826.3060334999999</v>
      </c>
      <c r="Z18" s="27">
        <f t="shared" si="6"/>
        <v>4315.1537305000002</v>
      </c>
      <c r="AA18" s="147">
        <f t="shared" si="7"/>
        <v>14047.202569499999</v>
      </c>
      <c r="AB18" s="147">
        <f>'DATOS REFERENCIALES'!$C$10</f>
        <v>2270</v>
      </c>
      <c r="AC18" s="654">
        <f>IF(C18&lt;12,IF(H18&gt;1134,'DATOS REFERENCIALES'!$C$17,'DATOS REFERENCIALES'!$C$17/1135*H18),0)</f>
        <v>2584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9636.7974304999989</v>
      </c>
      <c r="AE18" s="130">
        <f t="shared" si="8"/>
        <v>28537.999999999996</v>
      </c>
      <c r="AF18" s="91">
        <f>'DATOS REFERENCIALES'!$C$13</f>
        <v>1210</v>
      </c>
      <c r="AG18" s="272"/>
      <c r="AH18" s="147" t="e">
        <f>IF($H18&gt;1119,'DATOS REFERENCIALES'!#REF!,'DATOS REFERENCIALES'!#REF!/1120*$H18)</f>
        <v>#REF!</v>
      </c>
      <c r="AI18" s="79">
        <f t="shared" si="13"/>
        <v>1210</v>
      </c>
      <c r="AJ18" s="151">
        <f>'DATOS REFERENCIALES'!$C$12</f>
        <v>210</v>
      </c>
      <c r="AK18" s="79">
        <f t="shared" si="14"/>
        <v>31167.999999999996</v>
      </c>
      <c r="AL18" s="581">
        <f>'DATOS REFERENCIALES'!$C$16</f>
        <v>2022.3050000000001</v>
      </c>
      <c r="AM18" s="588">
        <f t="shared" si="9"/>
        <v>475.24167499999999</v>
      </c>
      <c r="AN18" s="587">
        <f t="shared" si="10"/>
        <v>1547.0633250000001</v>
      </c>
      <c r="AO18" s="581">
        <f t="shared" si="12"/>
        <v>32715.063324999996</v>
      </c>
      <c r="AP18" s="17"/>
      <c r="AQ18" s="17"/>
      <c r="AU18" s="8"/>
    </row>
    <row r="19" spans="1:47" s="1" customFormat="1" ht="21.75" customHeight="1" x14ac:dyDescent="0.2">
      <c r="A19" s="74">
        <v>1557</v>
      </c>
      <c r="B19" s="109" t="s">
        <v>75</v>
      </c>
      <c r="C19" s="119">
        <v>0</v>
      </c>
      <c r="D19" s="35"/>
      <c r="E19" s="35"/>
      <c r="F19" s="35"/>
      <c r="G19" s="62">
        <v>823</v>
      </c>
      <c r="H19" s="49">
        <f t="shared" si="0"/>
        <v>823</v>
      </c>
      <c r="I19" s="49"/>
      <c r="J19" s="49"/>
      <c r="K19" s="89">
        <f>H19*'DATOS REFERENCIALES'!$C$4</f>
        <v>7897.3434000000007</v>
      </c>
      <c r="L19" s="187"/>
      <c r="M19" s="187"/>
      <c r="N19" s="111">
        <f>LOOKUP(C19,'TABLA ANTIG.'!$A$4:$A$39,'TABLA ANTIG.'!$B$4:$B$39)*(K19)</f>
        <v>0</v>
      </c>
      <c r="O19" s="98">
        <f t="shared" si="1"/>
        <v>789.73434000000009</v>
      </c>
      <c r="P19" s="89">
        <f>'DATOS REFERENCIALES'!$C$8</f>
        <v>6382</v>
      </c>
      <c r="Q19" s="130">
        <f>LOOKUP(C19,'TABLA ANTIG.'!$A$4:$A$39,'TABLA ANTIG.'!$B$4:$B$39)*(P19)</f>
        <v>0</v>
      </c>
      <c r="R19" s="98">
        <v>0</v>
      </c>
      <c r="S19" s="545">
        <f>IF(C19&gt;11,IF(H19&gt;1134,'DATOS REFERENCIALES'!$C$18,'DATOS REFERENCIALES'!$C$18/1135*H19),0)</f>
        <v>0</v>
      </c>
      <c r="T19" s="159">
        <f t="shared" si="11"/>
        <v>15069.077740000001</v>
      </c>
      <c r="U19" s="27">
        <f t="shared" si="2"/>
        <v>1657.5985514000001</v>
      </c>
      <c r="V19" s="27">
        <f t="shared" si="3"/>
        <v>452.07233220000001</v>
      </c>
      <c r="W19" s="27">
        <f t="shared" si="3"/>
        <v>452.07233220000001</v>
      </c>
      <c r="X19" s="27">
        <f t="shared" si="4"/>
        <v>301.3815548</v>
      </c>
      <c r="Y19" s="27">
        <f t="shared" si="5"/>
        <v>678.10849829999995</v>
      </c>
      <c r="Z19" s="27">
        <f t="shared" si="6"/>
        <v>3541.2332689000004</v>
      </c>
      <c r="AA19" s="147">
        <f t="shared" si="7"/>
        <v>11527.844471100001</v>
      </c>
      <c r="AB19" s="147">
        <f>'DATOS REFERENCIALES'!$C$10</f>
        <v>2270</v>
      </c>
      <c r="AC19" s="654">
        <f>IF(C19&lt;12,IF(H19&gt;1134,'DATOS REFERENCIALES'!$C$17,'DATOS REFERENCIALES'!$C$17/1135*H19),0)</f>
        <v>1873.6845814977971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5021.6638989440507</v>
      </c>
      <c r="AE19" s="130">
        <f t="shared" si="8"/>
        <v>20693.192951541849</v>
      </c>
      <c r="AF19" s="91">
        <f>'DATOS REFERENCIALES'!$C$13</f>
        <v>1210</v>
      </c>
      <c r="AG19" s="272"/>
      <c r="AH19" s="147" t="e">
        <f>IF($H19&gt;1119,'DATOS REFERENCIALES'!#REF!,'DATOS REFERENCIALES'!#REF!/1120*$H19)</f>
        <v>#REF!</v>
      </c>
      <c r="AI19" s="79">
        <f t="shared" si="13"/>
        <v>1210</v>
      </c>
      <c r="AJ19" s="151">
        <f>'DATOS REFERENCIALES'!$C$12</f>
        <v>210</v>
      </c>
      <c r="AK19" s="79">
        <f t="shared" si="14"/>
        <v>23323.192951541849</v>
      </c>
      <c r="AL19" s="581">
        <f>'DATOS REFERENCIALES'!$C$16</f>
        <v>2022.3050000000001</v>
      </c>
      <c r="AM19" s="588">
        <f t="shared" si="9"/>
        <v>475.24167499999999</v>
      </c>
      <c r="AN19" s="587">
        <f t="shared" si="10"/>
        <v>1547.0633250000001</v>
      </c>
      <c r="AO19" s="581">
        <f t="shared" si="12"/>
        <v>24870.256276541848</v>
      </c>
      <c r="AP19" s="17"/>
      <c r="AQ19" s="17"/>
      <c r="AU19" s="8"/>
    </row>
    <row r="20" spans="1:47" s="1" customFormat="1" ht="21.75" customHeight="1" x14ac:dyDescent="0.2">
      <c r="A20" s="74">
        <v>1559</v>
      </c>
      <c r="B20" s="100" t="s">
        <v>28</v>
      </c>
      <c r="C20" s="119">
        <v>0</v>
      </c>
      <c r="D20" s="35"/>
      <c r="E20" s="35"/>
      <c r="F20" s="35"/>
      <c r="G20" s="62">
        <v>1120</v>
      </c>
      <c r="H20" s="599">
        <v>1135</v>
      </c>
      <c r="I20" s="49"/>
      <c r="J20" s="49"/>
      <c r="K20" s="89">
        <f>H20*'DATOS REFERENCIALES'!$C$4</f>
        <v>10891.233</v>
      </c>
      <c r="L20" s="187"/>
      <c r="M20" s="187"/>
      <c r="N20" s="111">
        <f>LOOKUP(C20,'TABLA ANTIG.'!$A$4:$A$39,'TABLA ANTIG.'!$B$4:$B$39)*(K20)</f>
        <v>0</v>
      </c>
      <c r="O20" s="98">
        <f t="shared" si="1"/>
        <v>1089.1233</v>
      </c>
      <c r="P20" s="89">
        <f>'DATOS REFERENCIALES'!$C$8</f>
        <v>6382</v>
      </c>
      <c r="Q20" s="130">
        <f>LOOKUP(C20,'TABLA ANTIG.'!$A$4:$A$39,'TABLA ANTIG.'!$B$4:$B$39)*(P20)</f>
        <v>0</v>
      </c>
      <c r="R20" s="98">
        <v>0</v>
      </c>
      <c r="S20" s="545">
        <f>IF(C20&gt;11,IF(H20&gt;1134,'DATOS REFERENCIALES'!$C$18,'DATOS REFERENCIALES'!$C$18/1135*H20),0)</f>
        <v>0</v>
      </c>
      <c r="T20" s="159">
        <f t="shared" si="11"/>
        <v>18362.356299999999</v>
      </c>
      <c r="U20" s="27">
        <f t="shared" si="2"/>
        <v>2019.859193</v>
      </c>
      <c r="V20" s="27">
        <f t="shared" si="3"/>
        <v>550.87068899999997</v>
      </c>
      <c r="W20" s="27">
        <f t="shared" si="3"/>
        <v>550.87068899999997</v>
      </c>
      <c r="X20" s="27">
        <f t="shared" si="4"/>
        <v>367.24712599999998</v>
      </c>
      <c r="Y20" s="27">
        <f t="shared" si="5"/>
        <v>826.3060334999999</v>
      </c>
      <c r="Z20" s="27">
        <f t="shared" si="6"/>
        <v>4315.1537305000002</v>
      </c>
      <c r="AA20" s="147">
        <f t="shared" si="7"/>
        <v>14047.202569499999</v>
      </c>
      <c r="AB20" s="147">
        <f>'DATOS REFERENCIALES'!$C$10</f>
        <v>2270</v>
      </c>
      <c r="AC20" s="654">
        <f>IF(C20&lt;12,IF(H20&gt;1134,'DATOS REFERENCIALES'!$C$17,'DATOS REFERENCIALES'!$C$17/1135*H20),0)</f>
        <v>2584</v>
      </c>
      <c r="AD20" s="7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130">
        <f t="shared" si="8"/>
        <v>28537.999999999996</v>
      </c>
      <c r="AF20" s="91">
        <f>'DATOS REFERENCIALES'!$C$13</f>
        <v>1210</v>
      </c>
      <c r="AG20" s="272"/>
      <c r="AH20" s="147" t="e">
        <f>IF($H20&gt;1119,'DATOS REFERENCIALES'!#REF!,'DATOS REFERENCIALES'!#REF!/1120*$H20)</f>
        <v>#REF!</v>
      </c>
      <c r="AI20" s="79">
        <f t="shared" si="13"/>
        <v>1210</v>
      </c>
      <c r="AJ20" s="151">
        <f>'DATOS REFERENCIALES'!$C$12</f>
        <v>210</v>
      </c>
      <c r="AK20" s="79">
        <f t="shared" si="14"/>
        <v>31167.999999999996</v>
      </c>
      <c r="AL20" s="581">
        <f>'DATOS REFERENCIALES'!$C$16</f>
        <v>2022.3050000000001</v>
      </c>
      <c r="AM20" s="588">
        <f t="shared" si="9"/>
        <v>475.24167499999999</v>
      </c>
      <c r="AN20" s="587">
        <f t="shared" si="10"/>
        <v>1547.0633250000001</v>
      </c>
      <c r="AO20" s="581">
        <f t="shared" si="12"/>
        <v>32715.063324999996</v>
      </c>
      <c r="AP20" s="17"/>
      <c r="AQ20" s="17"/>
      <c r="AU20" s="8"/>
    </row>
    <row r="21" spans="1:47" s="1" customFormat="1" ht="21.75" customHeight="1" x14ac:dyDescent="0.2">
      <c r="A21" s="74">
        <v>1566</v>
      </c>
      <c r="B21" s="100" t="s">
        <v>29</v>
      </c>
      <c r="C21" s="119">
        <v>0</v>
      </c>
      <c r="D21" s="35"/>
      <c r="E21" s="35"/>
      <c r="F21" s="35"/>
      <c r="G21" s="62">
        <v>1008</v>
      </c>
      <c r="H21" s="49">
        <f t="shared" si="0"/>
        <v>1008</v>
      </c>
      <c r="I21" s="49"/>
      <c r="J21" s="49"/>
      <c r="K21" s="89">
        <f>H21*'DATOS REFERENCIALES'!$C$4</f>
        <v>9672.5663999999997</v>
      </c>
      <c r="L21" s="187"/>
      <c r="M21" s="187"/>
      <c r="N21" s="111">
        <f>LOOKUP(C21,'TABLA ANTIG.'!$A$4:$A$39,'TABLA ANTIG.'!$B$4:$B$39)*(K21)</f>
        <v>0</v>
      </c>
      <c r="O21" s="98">
        <f t="shared" si="1"/>
        <v>967.25664000000006</v>
      </c>
      <c r="P21" s="89">
        <f>'DATOS REFERENCIALES'!$C$8</f>
        <v>6382</v>
      </c>
      <c r="Q21" s="130">
        <f>LOOKUP(C21,'TABLA ANTIG.'!$A$4:$A$39,'TABLA ANTIG.'!$B$4:$B$39)*(P21)</f>
        <v>0</v>
      </c>
      <c r="R21" s="98">
        <v>0</v>
      </c>
      <c r="S21" s="545">
        <f>IF(C21&gt;11,IF(H21&gt;1134,'DATOS REFERENCIALES'!$C$18,'DATOS REFERENCIALES'!$C$18/1135*H21),0)</f>
        <v>0</v>
      </c>
      <c r="T21" s="159">
        <f t="shared" si="11"/>
        <v>17021.823039999999</v>
      </c>
      <c r="U21" s="27">
        <f t="shared" si="2"/>
        <v>1872.4005344</v>
      </c>
      <c r="V21" s="27">
        <f t="shared" si="3"/>
        <v>510.65469119999995</v>
      </c>
      <c r="W21" s="27">
        <f t="shared" si="3"/>
        <v>510.65469119999995</v>
      </c>
      <c r="X21" s="27">
        <f t="shared" si="4"/>
        <v>340.43646080000002</v>
      </c>
      <c r="Y21" s="27">
        <f t="shared" si="5"/>
        <v>765.98203679999995</v>
      </c>
      <c r="Z21" s="27">
        <f t="shared" si="6"/>
        <v>4000.1284144000001</v>
      </c>
      <c r="AA21" s="147">
        <f t="shared" si="7"/>
        <v>13021.694625599999</v>
      </c>
      <c r="AB21" s="147">
        <f>'DATOS REFERENCIALES'!$C$10</f>
        <v>2270</v>
      </c>
      <c r="AC21" s="654">
        <f>IF(C21&lt;12,IF(H21&gt;1134,'DATOS REFERENCIALES'!$C$17,'DATOS REFERENCIALES'!$C$17/1135*H21),0)</f>
        <v>2294.8651982378851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7758.2014096422899</v>
      </c>
      <c r="AE21" s="130">
        <f t="shared" si="8"/>
        <v>25344.761233480174</v>
      </c>
      <c r="AF21" s="91">
        <f>'DATOS REFERENCIALES'!$C$13</f>
        <v>1210</v>
      </c>
      <c r="AG21" s="272"/>
      <c r="AH21" s="147" t="e">
        <f>IF($H21&gt;1119,'DATOS REFERENCIALES'!#REF!,'DATOS REFERENCIALES'!#REF!/1120*$H21)</f>
        <v>#REF!</v>
      </c>
      <c r="AI21" s="79">
        <f t="shared" si="13"/>
        <v>1210</v>
      </c>
      <c r="AJ21" s="151">
        <f>'DATOS REFERENCIALES'!$C$12</f>
        <v>210</v>
      </c>
      <c r="AK21" s="79">
        <f t="shared" si="14"/>
        <v>27974.761233480174</v>
      </c>
      <c r="AL21" s="581">
        <f>'DATOS REFERENCIALES'!$C$16</f>
        <v>2022.3050000000001</v>
      </c>
      <c r="AM21" s="588">
        <f t="shared" si="9"/>
        <v>475.24167499999999</v>
      </c>
      <c r="AN21" s="587">
        <f t="shared" si="10"/>
        <v>1547.0633250000001</v>
      </c>
      <c r="AO21" s="581">
        <f t="shared" si="12"/>
        <v>29521.824558480173</v>
      </c>
      <c r="AP21" s="17"/>
      <c r="AQ21" s="17"/>
      <c r="AU21" s="8"/>
    </row>
    <row r="22" spans="1:47" s="1" customFormat="1" ht="21.75" customHeight="1" x14ac:dyDescent="0.2">
      <c r="A22" s="74">
        <v>1567</v>
      </c>
      <c r="B22" s="100" t="s">
        <v>30</v>
      </c>
      <c r="C22" s="119">
        <v>0</v>
      </c>
      <c r="D22" s="35"/>
      <c r="E22" s="35"/>
      <c r="F22" s="35"/>
      <c r="G22" s="62">
        <v>825</v>
      </c>
      <c r="H22" s="49">
        <f t="shared" si="0"/>
        <v>825</v>
      </c>
      <c r="I22" s="49"/>
      <c r="J22" s="49"/>
      <c r="K22" s="89">
        <f>H22*'DATOS REFERENCIALES'!$C$4</f>
        <v>7916.5350000000008</v>
      </c>
      <c r="L22" s="187"/>
      <c r="M22" s="187"/>
      <c r="N22" s="111">
        <f>LOOKUP(C22,'TABLA ANTIG.'!$A$4:$A$39,'TABLA ANTIG.'!$B$4:$B$39)*(K22)</f>
        <v>0</v>
      </c>
      <c r="O22" s="98">
        <f t="shared" si="1"/>
        <v>791.65350000000012</v>
      </c>
      <c r="P22" s="89">
        <f>'DATOS REFERENCIALES'!$C$8</f>
        <v>6382</v>
      </c>
      <c r="Q22" s="130">
        <f>LOOKUP(C22,'TABLA ANTIG.'!$A$4:$A$39,'TABLA ANTIG.'!$B$4:$B$39)*(P22)</f>
        <v>0</v>
      </c>
      <c r="R22" s="147">
        <v>0</v>
      </c>
      <c r="S22" s="545">
        <f>IF(C22&gt;11,IF(H22&gt;1134,'DATOS REFERENCIALES'!$C$18,'DATOS REFERENCIALES'!$C$18/1135*H22),0)</f>
        <v>0</v>
      </c>
      <c r="T22" s="159">
        <f t="shared" si="11"/>
        <v>15090.1885</v>
      </c>
      <c r="U22" s="79">
        <f t="shared" si="2"/>
        <v>1659.9207349999999</v>
      </c>
      <c r="V22" s="79">
        <f t="shared" si="3"/>
        <v>452.70565499999998</v>
      </c>
      <c r="W22" s="79">
        <f t="shared" si="3"/>
        <v>452.70565499999998</v>
      </c>
      <c r="X22" s="79">
        <f t="shared" si="4"/>
        <v>301.80376999999999</v>
      </c>
      <c r="Y22" s="79">
        <f t="shared" si="5"/>
        <v>679.05848249999997</v>
      </c>
      <c r="Z22" s="27">
        <f t="shared" si="6"/>
        <v>3546.1942975000002</v>
      </c>
      <c r="AA22" s="147">
        <f t="shared" si="7"/>
        <v>11543.9942025</v>
      </c>
      <c r="AB22" s="147">
        <f>'DATOS REFERENCIALES'!$C$10</f>
        <v>2270</v>
      </c>
      <c r="AC22" s="654">
        <f>IF(C22&lt;12,IF(H22&gt;1134,'DATOS REFERENCIALES'!$C$17,'DATOS REFERENCIALES'!$C$17/1135*H22),0)</f>
        <v>1878.2378854625549</v>
      </c>
      <c r="AD22" s="79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5051.2480882488999</v>
      </c>
      <c r="AE22" s="130">
        <f t="shared" si="8"/>
        <v>20743.480176211455</v>
      </c>
      <c r="AF22" s="91">
        <f>'DATOS REFERENCIALES'!$C$13</f>
        <v>1210</v>
      </c>
      <c r="AG22" s="272"/>
      <c r="AH22" s="147" t="e">
        <f>IF($H22&gt;1119,'DATOS REFERENCIALES'!#REF!,'DATOS REFERENCIALES'!#REF!/1120*$H22)</f>
        <v>#REF!</v>
      </c>
      <c r="AI22" s="79">
        <f t="shared" si="13"/>
        <v>1210</v>
      </c>
      <c r="AJ22" s="151">
        <f>'DATOS REFERENCIALES'!$C$12</f>
        <v>210</v>
      </c>
      <c r="AK22" s="79">
        <f t="shared" si="14"/>
        <v>23373.480176211455</v>
      </c>
      <c r="AL22" s="581">
        <f>'DATOS REFERENCIALES'!$C$16</f>
        <v>2022.3050000000001</v>
      </c>
      <c r="AM22" s="588">
        <f t="shared" si="9"/>
        <v>475.24167499999999</v>
      </c>
      <c r="AN22" s="587">
        <f t="shared" si="10"/>
        <v>1547.0633250000001</v>
      </c>
      <c r="AO22" s="581">
        <f t="shared" si="12"/>
        <v>24920.543501211454</v>
      </c>
      <c r="AP22" s="17"/>
      <c r="AQ22" s="17"/>
      <c r="AU22" s="8"/>
    </row>
    <row r="23" spans="1:47" s="1" customFormat="1" ht="21.75" customHeight="1" x14ac:dyDescent="0.2">
      <c r="A23" s="74">
        <v>1568</v>
      </c>
      <c r="B23" s="109" t="s">
        <v>76</v>
      </c>
      <c r="C23" s="119">
        <v>0</v>
      </c>
      <c r="D23" s="35"/>
      <c r="E23" s="35"/>
      <c r="F23" s="35"/>
      <c r="G23" s="62">
        <v>1008</v>
      </c>
      <c r="H23" s="49">
        <f t="shared" si="0"/>
        <v>1008</v>
      </c>
      <c r="I23" s="49"/>
      <c r="J23" s="49"/>
      <c r="K23" s="89">
        <f>H23*'DATOS REFERENCIALES'!$C$4</f>
        <v>9672.5663999999997</v>
      </c>
      <c r="L23" s="187"/>
      <c r="M23" s="187"/>
      <c r="N23" s="111">
        <f>LOOKUP(C23,'TABLA ANTIG.'!$A$4:$A$39,'TABLA ANTIG.'!$B$4:$B$39)*(K23)</f>
        <v>0</v>
      </c>
      <c r="O23" s="98">
        <f t="shared" si="1"/>
        <v>967.25664000000006</v>
      </c>
      <c r="P23" s="89">
        <f>'DATOS REFERENCIALES'!$C$8</f>
        <v>6382</v>
      </c>
      <c r="Q23" s="130">
        <f>LOOKUP(C23,'TABLA ANTIG.'!$A$4:$A$39,'TABLA ANTIG.'!$B$4:$B$39)*(P23)</f>
        <v>0</v>
      </c>
      <c r="R23" s="147">
        <v>0</v>
      </c>
      <c r="S23" s="545">
        <f>IF(C23&gt;11,IF(H23&gt;1134,'DATOS REFERENCIALES'!$C$18,'DATOS REFERENCIALES'!$C$18/1135*H23),0)</f>
        <v>0</v>
      </c>
      <c r="T23" s="159">
        <f t="shared" si="11"/>
        <v>17021.823039999999</v>
      </c>
      <c r="U23" s="79">
        <f t="shared" si="2"/>
        <v>1872.4005344</v>
      </c>
      <c r="V23" s="79">
        <f t="shared" si="3"/>
        <v>510.65469119999995</v>
      </c>
      <c r="W23" s="79">
        <f t="shared" si="3"/>
        <v>510.65469119999995</v>
      </c>
      <c r="X23" s="79">
        <f t="shared" si="4"/>
        <v>340.43646080000002</v>
      </c>
      <c r="Y23" s="79">
        <f t="shared" si="5"/>
        <v>765.98203679999995</v>
      </c>
      <c r="Z23" s="27">
        <f t="shared" si="6"/>
        <v>4000.1284144000001</v>
      </c>
      <c r="AA23" s="147">
        <f t="shared" si="7"/>
        <v>13021.694625599999</v>
      </c>
      <c r="AB23" s="147">
        <f>'DATOS REFERENCIALES'!$C$10</f>
        <v>2270</v>
      </c>
      <c r="AC23" s="654">
        <f>IF(C23&lt;12,IF(H23&gt;1134,'DATOS REFERENCIALES'!$C$17,'DATOS REFERENCIALES'!$C$17/1135*H23),0)</f>
        <v>2294.8651982378851</v>
      </c>
      <c r="AD23" s="79">
        <f>IF((IF(H23&gt;1134,('DATOS REFERENCIALES'!$C$9-(T23-U23-V23-W23-X23-Y23+AB23+AC23-L23-L23*0.235)),(('DATOS REFERENCIALES'!$C$9/1135)*H23)-(K23+N23+O23+P23+Q23+S23-U23-V23-W23-X23-Y23+AB23+AC23-(L23-L23*0.235))))&lt;0,0,IF(H23&gt;1134,(('DATOS REFERENCIALES'!$C$9)-(T23-U23-V23-W23-X23-Y23+AB23+AC23-(L23-L23*0.235))),(('DATOS REFERENCIALES'!$C$9/1135)*H23)-(K23+N23+O23+P23+Q23+S23-U23-V23-W23-X23-Y23+AB23+AC23-(L23-L23*0.235))))</f>
        <v>7758.2014096422899</v>
      </c>
      <c r="AE23" s="130">
        <f t="shared" si="8"/>
        <v>25344.761233480174</v>
      </c>
      <c r="AF23" s="91">
        <f>'DATOS REFERENCIALES'!$C$13</f>
        <v>1210</v>
      </c>
      <c r="AG23" s="272"/>
      <c r="AH23" s="147" t="e">
        <f>IF($H23&gt;1119,'DATOS REFERENCIALES'!#REF!,'DATOS REFERENCIALES'!#REF!/1120*$H23)</f>
        <v>#REF!</v>
      </c>
      <c r="AI23" s="79">
        <f t="shared" si="13"/>
        <v>1210</v>
      </c>
      <c r="AJ23" s="151">
        <f>'DATOS REFERENCIALES'!$C$12</f>
        <v>210</v>
      </c>
      <c r="AK23" s="79">
        <f t="shared" si="14"/>
        <v>27974.761233480174</v>
      </c>
      <c r="AL23" s="581">
        <f>'DATOS REFERENCIALES'!$C$16</f>
        <v>2022.3050000000001</v>
      </c>
      <c r="AM23" s="588">
        <f t="shared" si="9"/>
        <v>475.24167499999999</v>
      </c>
      <c r="AN23" s="587">
        <f t="shared" si="10"/>
        <v>1547.0633250000001</v>
      </c>
      <c r="AO23" s="581">
        <f t="shared" si="12"/>
        <v>29521.824558480173</v>
      </c>
      <c r="AP23" s="17"/>
      <c r="AQ23" s="17"/>
      <c r="AU23" s="8"/>
    </row>
    <row r="24" spans="1:47" s="1" customFormat="1" ht="21.75" customHeight="1" x14ac:dyDescent="0.2">
      <c r="A24" s="74">
        <v>1582</v>
      </c>
      <c r="B24" s="100" t="s">
        <v>15</v>
      </c>
      <c r="C24" s="119">
        <v>0</v>
      </c>
      <c r="D24" s="35"/>
      <c r="E24" s="35"/>
      <c r="F24" s="35"/>
      <c r="G24" s="62">
        <v>952</v>
      </c>
      <c r="H24" s="49">
        <f t="shared" si="0"/>
        <v>952</v>
      </c>
      <c r="I24" s="49"/>
      <c r="J24" s="49"/>
      <c r="K24" s="89">
        <f>H24*'DATOS REFERENCIALES'!$C$4</f>
        <v>9135.2016000000003</v>
      </c>
      <c r="L24" s="187"/>
      <c r="M24" s="187"/>
      <c r="N24" s="111">
        <f>LOOKUP(C24,'TABLA ANTIG.'!$A$4:$A$39,'TABLA ANTIG.'!$B$4:$B$39)*(K24)</f>
        <v>0</v>
      </c>
      <c r="O24" s="98">
        <f t="shared" si="1"/>
        <v>913.52016000000003</v>
      </c>
      <c r="P24" s="89">
        <f>'DATOS REFERENCIALES'!$C$8</f>
        <v>6382</v>
      </c>
      <c r="Q24" s="130">
        <f>LOOKUP(C24,'TABLA ANTIG.'!$A$4:$A$39,'TABLA ANTIG.'!$B$4:$B$39)*(P24)</f>
        <v>0</v>
      </c>
      <c r="R24" s="147">
        <v>0</v>
      </c>
      <c r="S24" s="545">
        <f>IF(C24&gt;11,IF(H24&gt;1134,'DATOS REFERENCIALES'!$C$18,'DATOS REFERENCIALES'!$C$18/1135*H24),0)</f>
        <v>0</v>
      </c>
      <c r="T24" s="159">
        <f t="shared" si="11"/>
        <v>16430.72176</v>
      </c>
      <c r="U24" s="79">
        <f t="shared" si="2"/>
        <v>1807.3793936</v>
      </c>
      <c r="V24" s="79">
        <f t="shared" si="3"/>
        <v>492.9216528</v>
      </c>
      <c r="W24" s="79">
        <f t="shared" si="3"/>
        <v>492.9216528</v>
      </c>
      <c r="X24" s="79">
        <f t="shared" si="4"/>
        <v>328.6144352</v>
      </c>
      <c r="Y24" s="79">
        <f t="shared" si="5"/>
        <v>739.38247920000003</v>
      </c>
      <c r="Z24" s="27">
        <f t="shared" si="6"/>
        <v>3861.2196136000002</v>
      </c>
      <c r="AA24" s="147">
        <f t="shared" si="7"/>
        <v>12569.5021464</v>
      </c>
      <c r="AB24" s="147">
        <f>'DATOS REFERENCIALES'!$C$10</f>
        <v>2270</v>
      </c>
      <c r="AC24" s="654">
        <f>IF(C24&lt;12,IF(H24&gt;1134,'DATOS REFERENCIALES'!$C$17,'DATOS REFERENCIALES'!$C$17/1135*H24),0)</f>
        <v>2167.3726872246693</v>
      </c>
      <c r="AD24" s="79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6929.8441091066052</v>
      </c>
      <c r="AE24" s="130">
        <f t="shared" si="8"/>
        <v>23936.718942731273</v>
      </c>
      <c r="AF24" s="91">
        <f>'DATOS REFERENCIALES'!$C$13</f>
        <v>1210</v>
      </c>
      <c r="AG24" s="272"/>
      <c r="AH24" s="147" t="e">
        <f>IF($H24&gt;1119,'DATOS REFERENCIALES'!#REF!,'DATOS REFERENCIALES'!#REF!/1120*$H24)</f>
        <v>#REF!</v>
      </c>
      <c r="AI24" s="79">
        <f t="shared" si="13"/>
        <v>1210</v>
      </c>
      <c r="AJ24" s="151">
        <f>'DATOS REFERENCIALES'!$C$12</f>
        <v>210</v>
      </c>
      <c r="AK24" s="79">
        <f t="shared" si="14"/>
        <v>26566.718942731273</v>
      </c>
      <c r="AL24" s="581">
        <f>'DATOS REFERENCIALES'!$C$16</f>
        <v>2022.3050000000001</v>
      </c>
      <c r="AM24" s="588">
        <f t="shared" si="9"/>
        <v>475.24167499999999</v>
      </c>
      <c r="AN24" s="587">
        <f t="shared" si="10"/>
        <v>1547.0633250000001</v>
      </c>
      <c r="AO24" s="581">
        <f t="shared" si="12"/>
        <v>28113.782267731272</v>
      </c>
      <c r="AP24" s="17"/>
      <c r="AQ24" s="17"/>
      <c r="AU24" s="8"/>
    </row>
    <row r="25" spans="1:47" s="1" customFormat="1" ht="21.75" customHeight="1" x14ac:dyDescent="0.2">
      <c r="A25" s="74">
        <v>1599</v>
      </c>
      <c r="B25" s="100" t="s">
        <v>31</v>
      </c>
      <c r="C25" s="35">
        <v>0</v>
      </c>
      <c r="D25" s="35">
        <v>1</v>
      </c>
      <c r="E25" s="35"/>
      <c r="F25" s="35"/>
      <c r="G25" s="62">
        <v>56</v>
      </c>
      <c r="H25" s="49">
        <f t="shared" si="0"/>
        <v>56</v>
      </c>
      <c r="I25" s="49"/>
      <c r="J25" s="49"/>
      <c r="K25" s="89">
        <f>(H25*'DATOS REFERENCIALES'!$C$4)*D25</f>
        <v>537.36480000000006</v>
      </c>
      <c r="L25" s="187"/>
      <c r="M25" s="187"/>
      <c r="N25" s="111">
        <f>LOOKUP(C25,'TABLA ANTIG.'!$A$4:$A$39,'TABLA ANTIG.'!$B$4:$B$39)*(K25)</f>
        <v>0</v>
      </c>
      <c r="O25" s="180">
        <f t="shared" si="1"/>
        <v>53.736480000000007</v>
      </c>
      <c r="P25" s="89">
        <f>IF(D25&gt;48,'DATOS REFERENCIALES'!$D$8+('DATOS REFERENCIALES'!$F$8*10),IF(D25&lt;39,'DATOS REFERENCIALES'!$E$8*D25,((D25-'DATOS REFERENCIALES'!$I$8)*'DATOS REFERENCIALES'!$F$8)+'DATOS REFERENCIALES'!$D$8))</f>
        <v>335.89473684210526</v>
      </c>
      <c r="Q25" s="153">
        <f>LOOKUP(C25,'TABLA ANTIG.'!$A$4:$A$39,'TABLA ANTIG.'!$B$4:$B$39)*(P25)</f>
        <v>0</v>
      </c>
      <c r="R25" s="147">
        <v>0</v>
      </c>
      <c r="S25" s="545">
        <f>IF(C25&gt;11,IF(H25&gt;1134,'DATOS REFERENCIALES'!$C$18,'DATOS REFERENCIALES'!$C$18/20*D25),0)</f>
        <v>0</v>
      </c>
      <c r="T25" s="159">
        <f t="shared" si="11"/>
        <v>926.99601684210529</v>
      </c>
      <c r="U25" s="79">
        <f t="shared" si="2"/>
        <v>101.96956185263159</v>
      </c>
      <c r="V25" s="79">
        <f t="shared" si="3"/>
        <v>27.809880505263159</v>
      </c>
      <c r="W25" s="79">
        <f t="shared" si="3"/>
        <v>27.809880505263159</v>
      </c>
      <c r="X25" s="79">
        <f t="shared" si="4"/>
        <v>18.539920336842105</v>
      </c>
      <c r="Y25" s="79">
        <f t="shared" si="5"/>
        <v>41.714820757894735</v>
      </c>
      <c r="Z25" s="27">
        <f t="shared" si="6"/>
        <v>217.84406395789472</v>
      </c>
      <c r="AA25" s="147">
        <f t="shared" si="7"/>
        <v>709.15195288421057</v>
      </c>
      <c r="AB25" s="147">
        <f>IF(D25&gt;38,'DATOS REFERENCIALES'!$D$10,'DATOS REFERENCIALES'!$E$10*D25)</f>
        <v>119.47368421052632</v>
      </c>
      <c r="AC25" s="654">
        <f>IF(C25&lt;12,IF(H25&gt;1134,'DATOS REFERENCIALES'!$C$17,'DATOS REFERENCIALES'!$C$17/20*D25),0)</f>
        <v>129.19999999999999</v>
      </c>
      <c r="AD25" s="79">
        <f>IF(D25&gt;41,IF((('DATOS REFERENCIALES'!$D$9)-((T25)+(AB25)+(AC25)))&lt;0,0,((('DATOS REFERENCIALES'!$D$9)-((T25)-(Z25)+(AB25)+(AC25))))),IF((('DATOS REFERENCIALES'!$E$9*D25)-(((T25)+(AB25)+(AC25))))&lt;0,0,('DATOS REFERENCIALES'!$E$9*D25)-((T25)-(Z25)+(AB25)+(AC25))))</f>
        <v>469.07436290526311</v>
      </c>
      <c r="AE25" s="130">
        <f t="shared" si="8"/>
        <v>1426.9</v>
      </c>
      <c r="AF25" s="91">
        <f>IF(D25&gt;30,'DATOS REFERENCIALES'!$D$13,('DATOS REFERENCIALES'!$E$13*D25))</f>
        <v>80.666666666666671</v>
      </c>
      <c r="AG25" s="272"/>
      <c r="AH25" s="147" t="e">
        <f>IF(D25&gt;'DATOS REFERENCIALES'!#REF!,'DATOS REFERENCIALES'!#REF!,('DATOS REFERENCIALES'!#REF!*D25))</f>
        <v>#REF!</v>
      </c>
      <c r="AI25" s="79">
        <f t="shared" si="13"/>
        <v>80.666666666666671</v>
      </c>
      <c r="AJ25" s="151">
        <f>IF(D25&gt;'DATOS REFERENCIALES'!$I$12,'DATOS REFERENCIALES'!$D$12,'DATOS REFERENCIALES'!$E$12*D25)</f>
        <v>14</v>
      </c>
      <c r="AK25" s="79">
        <f t="shared" si="14"/>
        <v>1602.2333333333336</v>
      </c>
      <c r="AL25" s="581">
        <f>IF(D25&gt;'DATOS REFERENCIALES'!$I$16,'DATOS REFERENCIALES'!$D$16,'DATOS REFERENCIALES'!$E$16*D25)</f>
        <v>134.82033333333334</v>
      </c>
      <c r="AM25" s="588">
        <f t="shared" si="9"/>
        <v>31.682778333333331</v>
      </c>
      <c r="AN25" s="587">
        <f t="shared" si="10"/>
        <v>103.13755500000001</v>
      </c>
      <c r="AO25" s="581">
        <f t="shared" si="12"/>
        <v>1705.3708883333336</v>
      </c>
      <c r="AP25" s="17"/>
      <c r="AQ25" s="17"/>
      <c r="AU25" s="8"/>
    </row>
    <row r="26" spans="1:47" s="1" customFormat="1" ht="21.75" customHeight="1" x14ac:dyDescent="0.2">
      <c r="A26" s="74">
        <v>1599</v>
      </c>
      <c r="B26" s="100" t="s">
        <v>96</v>
      </c>
      <c r="C26" s="35">
        <v>0</v>
      </c>
      <c r="D26" s="35">
        <v>1</v>
      </c>
      <c r="E26" s="35"/>
      <c r="F26" s="35"/>
      <c r="G26" s="62">
        <v>56</v>
      </c>
      <c r="H26" s="49">
        <f t="shared" si="0"/>
        <v>56</v>
      </c>
      <c r="I26" s="49"/>
      <c r="J26" s="49"/>
      <c r="K26" s="89">
        <f>(H26*'DATOS REFERENCIALES'!$C$4)*D26</f>
        <v>537.36480000000006</v>
      </c>
      <c r="L26" s="187"/>
      <c r="M26" s="187"/>
      <c r="N26" s="111">
        <f>LOOKUP(C26,'TABLA ANTIG.'!$A$4:$A$39,'TABLA ANTIG.'!$B$4:$B$39)*(K26)</f>
        <v>0</v>
      </c>
      <c r="O26" s="98">
        <f t="shared" si="1"/>
        <v>53.736480000000007</v>
      </c>
      <c r="P26" s="89">
        <f>IF(D26&gt;48,'DATOS REFERENCIALES'!$D$8+('DATOS REFERENCIALES'!$F$8*10),IF(D26&lt;39,'DATOS REFERENCIALES'!$E$8*D26,((D26-'DATOS REFERENCIALES'!$I$8)*'DATOS REFERENCIALES'!$F$8)+'DATOS REFERENCIALES'!$D$8))</f>
        <v>335.89473684210526</v>
      </c>
      <c r="Q26" s="130">
        <f>LOOKUP(C26,'TABLA ANTIG.'!$A$4:$A$39,'TABLA ANTIG.'!$B$4:$B$39)*(P26)</f>
        <v>0</v>
      </c>
      <c r="R26" s="147">
        <v>0</v>
      </c>
      <c r="S26" s="545">
        <f>IF(C26&gt;11,IF(H26&gt;1134,'DATOS REFERENCIALES'!$C$18,'DATOS REFERENCIALES'!$C$18/20*D26),0)</f>
        <v>0</v>
      </c>
      <c r="T26" s="159">
        <f t="shared" si="11"/>
        <v>926.99601684210529</v>
      </c>
      <c r="U26" s="79">
        <f t="shared" si="2"/>
        <v>101.96956185263159</v>
      </c>
      <c r="V26" s="79">
        <f t="shared" si="3"/>
        <v>27.809880505263159</v>
      </c>
      <c r="W26" s="79">
        <f t="shared" si="3"/>
        <v>27.809880505263159</v>
      </c>
      <c r="X26" s="79">
        <f t="shared" si="4"/>
        <v>18.539920336842105</v>
      </c>
      <c r="Y26" s="79">
        <f t="shared" si="5"/>
        <v>41.714820757894735</v>
      </c>
      <c r="Z26" s="27">
        <f t="shared" si="6"/>
        <v>217.84406395789472</v>
      </c>
      <c r="AA26" s="147">
        <f t="shared" si="7"/>
        <v>709.15195288421057</v>
      </c>
      <c r="AB26" s="147">
        <f>IF(D26&gt;38,'DATOS REFERENCIALES'!$D$10,'DATOS REFERENCIALES'!$E$10*D26)</f>
        <v>119.47368421052632</v>
      </c>
      <c r="AC26" s="654">
        <f>IF(C26&lt;12,IF(H26&gt;1134,'DATOS REFERENCIALES'!$C$17,'DATOS REFERENCIALES'!$C$17/20*D26),0)</f>
        <v>129.19999999999999</v>
      </c>
      <c r="AD26" s="79">
        <f>IF(D26&gt;41,IF((('DATOS REFERENCIALES'!$D$9)-((T26)+(AB26)+(AC26)))&lt;0,0,((('DATOS REFERENCIALES'!$D$9)-((T26)-(Z26)+(AB26)+(AC26))))),IF((('DATOS REFERENCIALES'!$E$9*D26)-(((T26)+(AB26)+(AC26))))&lt;0,0,('DATOS REFERENCIALES'!$E$9*D26)-((T26)-(Z26)+(AB26)+(AC26))))</f>
        <v>469.07436290526311</v>
      </c>
      <c r="AE26" s="130">
        <f t="shared" si="8"/>
        <v>1426.9</v>
      </c>
      <c r="AF26" s="91">
        <f>IF(D26&gt;30,'DATOS REFERENCIALES'!$D$13,('DATOS REFERENCIALES'!$E$13*D26))</f>
        <v>80.666666666666671</v>
      </c>
      <c r="AG26" s="272"/>
      <c r="AH26" s="147" t="e">
        <f>IF(D26&gt;'DATOS REFERENCIALES'!#REF!,'DATOS REFERENCIALES'!#REF!,('DATOS REFERENCIALES'!#REF!*D26))</f>
        <v>#REF!</v>
      </c>
      <c r="AI26" s="79">
        <f t="shared" si="13"/>
        <v>80.666666666666671</v>
      </c>
      <c r="AJ26" s="151">
        <f>IF(D26&gt;'DATOS REFERENCIALES'!$I$12,'DATOS REFERENCIALES'!$D$12,'DATOS REFERENCIALES'!$E$12*D26)</f>
        <v>14</v>
      </c>
      <c r="AK26" s="79">
        <f t="shared" si="14"/>
        <v>1602.2333333333336</v>
      </c>
      <c r="AL26" s="581">
        <f>IF(D26&gt;'DATOS REFERENCIALES'!$I$16,'DATOS REFERENCIALES'!$D$16,'DATOS REFERENCIALES'!$E$16*D26)</f>
        <v>134.82033333333334</v>
      </c>
      <c r="AM26" s="588">
        <f t="shared" si="9"/>
        <v>31.682778333333331</v>
      </c>
      <c r="AN26" s="587">
        <f t="shared" si="10"/>
        <v>103.13755500000001</v>
      </c>
      <c r="AO26" s="581">
        <f t="shared" si="12"/>
        <v>1705.3708883333336</v>
      </c>
      <c r="AP26" s="17"/>
      <c r="AQ26" s="17"/>
      <c r="AU26" s="8"/>
    </row>
    <row r="27" spans="1:47" s="1" customFormat="1" ht="21.75" customHeight="1" x14ac:dyDescent="0.2">
      <c r="A27" s="74">
        <v>1599</v>
      </c>
      <c r="B27" s="100" t="s">
        <v>97</v>
      </c>
      <c r="C27" s="35">
        <v>0</v>
      </c>
      <c r="D27" s="35">
        <v>1</v>
      </c>
      <c r="E27" s="35"/>
      <c r="F27" s="35"/>
      <c r="G27" s="62">
        <v>56</v>
      </c>
      <c r="H27" s="49">
        <f t="shared" si="0"/>
        <v>56</v>
      </c>
      <c r="I27" s="49"/>
      <c r="J27" s="49"/>
      <c r="K27" s="89">
        <f>(H27*'DATOS REFERENCIALES'!$C$4)*D27</f>
        <v>537.36480000000006</v>
      </c>
      <c r="L27" s="187"/>
      <c r="M27" s="187"/>
      <c r="N27" s="111">
        <f>LOOKUP(C27,'TABLA ANTIG.'!$A$4:$A$39,'TABLA ANTIG.'!$B$4:$B$39)*(K27)</f>
        <v>0</v>
      </c>
      <c r="O27" s="98">
        <f t="shared" si="1"/>
        <v>53.736480000000007</v>
      </c>
      <c r="P27" s="89">
        <f>IF(D27&gt;48,'DATOS REFERENCIALES'!$D$8+('DATOS REFERENCIALES'!$F$8*10),IF(D27&lt;39,'DATOS REFERENCIALES'!$E$8*D27,((D27-'DATOS REFERENCIALES'!$I$8)*'DATOS REFERENCIALES'!$F$8)+'DATOS REFERENCIALES'!$D$8))</f>
        <v>335.89473684210526</v>
      </c>
      <c r="Q27" s="130">
        <f>LOOKUP(C27,'TABLA ANTIG.'!$A$4:$A$39,'TABLA ANTIG.'!$B$4:$B$39)*(P27)</f>
        <v>0</v>
      </c>
      <c r="R27" s="147">
        <v>0</v>
      </c>
      <c r="S27" s="545">
        <f>IF(C27&gt;11,IF(H27&gt;1134,'DATOS REFERENCIALES'!$C$18,'DATOS REFERENCIALES'!$C$18/20*D27),0)</f>
        <v>0</v>
      </c>
      <c r="T27" s="159">
        <f t="shared" si="11"/>
        <v>926.99601684210529</v>
      </c>
      <c r="U27" s="79">
        <f t="shared" si="2"/>
        <v>101.96956185263159</v>
      </c>
      <c r="V27" s="79">
        <f t="shared" si="3"/>
        <v>27.809880505263159</v>
      </c>
      <c r="W27" s="79">
        <f t="shared" si="3"/>
        <v>27.809880505263159</v>
      </c>
      <c r="X27" s="79">
        <f t="shared" si="4"/>
        <v>18.539920336842105</v>
      </c>
      <c r="Y27" s="79">
        <f t="shared" si="5"/>
        <v>41.714820757894735</v>
      </c>
      <c r="Z27" s="27">
        <f t="shared" si="6"/>
        <v>217.84406395789472</v>
      </c>
      <c r="AA27" s="147">
        <f t="shared" si="7"/>
        <v>709.15195288421057</v>
      </c>
      <c r="AB27" s="147">
        <f>IF(D27&gt;38,'DATOS REFERENCIALES'!$D$10,'DATOS REFERENCIALES'!$E$10*D27)</f>
        <v>119.47368421052632</v>
      </c>
      <c r="AC27" s="654">
        <f>IF(C27&lt;12,IF(H27&gt;1134,'DATOS REFERENCIALES'!$C$17,'DATOS REFERENCIALES'!$C$17/20*D27),0)</f>
        <v>129.19999999999999</v>
      </c>
      <c r="AD27" s="79">
        <f>IF(D27&gt;41,IF((('DATOS REFERENCIALES'!$D$9)-((T27)+(AB27)+(AC27)))&lt;0,0,((('DATOS REFERENCIALES'!$D$9)-((T27)-(Z27)+(AB27)+(AC27))))),IF((('DATOS REFERENCIALES'!$E$9*D27)-(((T27)+(AB27)+(AC27))))&lt;0,0,('DATOS REFERENCIALES'!$E$9*D27)-((T27)-(Z27)+(AB27)+(AC27))))</f>
        <v>469.07436290526311</v>
      </c>
      <c r="AE27" s="130">
        <f t="shared" si="8"/>
        <v>1426.9</v>
      </c>
      <c r="AF27" s="91">
        <f>IF(D27&gt;30,'DATOS REFERENCIALES'!$D$13,('DATOS REFERENCIALES'!$E$13*D27))</f>
        <v>80.666666666666671</v>
      </c>
      <c r="AG27" s="272"/>
      <c r="AH27" s="147" t="e">
        <f>IF(D27&gt;'DATOS REFERENCIALES'!#REF!,'DATOS REFERENCIALES'!#REF!,('DATOS REFERENCIALES'!#REF!*D27))</f>
        <v>#REF!</v>
      </c>
      <c r="AI27" s="79">
        <f t="shared" si="13"/>
        <v>80.666666666666671</v>
      </c>
      <c r="AJ27" s="151">
        <f>IF(D27&gt;'DATOS REFERENCIALES'!$I$12,'DATOS REFERENCIALES'!$D$12,'DATOS REFERENCIALES'!$E$12*D27)</f>
        <v>14</v>
      </c>
      <c r="AK27" s="79">
        <f t="shared" si="14"/>
        <v>1602.2333333333336</v>
      </c>
      <c r="AL27" s="581">
        <f>IF(D27&gt;'DATOS REFERENCIALES'!$I$16,'DATOS REFERENCIALES'!$D$16,'DATOS REFERENCIALES'!$E$16*D27)</f>
        <v>134.82033333333334</v>
      </c>
      <c r="AM27" s="588">
        <f t="shared" si="9"/>
        <v>31.682778333333331</v>
      </c>
      <c r="AN27" s="587">
        <f t="shared" si="10"/>
        <v>103.13755500000001</v>
      </c>
      <c r="AO27" s="581">
        <f t="shared" si="12"/>
        <v>1705.3708883333336</v>
      </c>
      <c r="AP27" s="17"/>
      <c r="AQ27" s="17"/>
      <c r="AU27" s="8"/>
    </row>
    <row r="28" spans="1:47" s="1" customFormat="1" ht="21.75" customHeight="1" x14ac:dyDescent="0.2">
      <c r="A28" s="74">
        <v>1599</v>
      </c>
      <c r="B28" s="100" t="s">
        <v>98</v>
      </c>
      <c r="C28" s="35">
        <v>0</v>
      </c>
      <c r="D28" s="35">
        <v>1</v>
      </c>
      <c r="E28" s="35"/>
      <c r="F28" s="35"/>
      <c r="G28" s="62">
        <v>56</v>
      </c>
      <c r="H28" s="49">
        <f t="shared" si="0"/>
        <v>56</v>
      </c>
      <c r="I28" s="49"/>
      <c r="J28" s="49"/>
      <c r="K28" s="89">
        <f>(H28*'DATOS REFERENCIALES'!$C$4)*D28</f>
        <v>537.36480000000006</v>
      </c>
      <c r="L28" s="187"/>
      <c r="M28" s="187"/>
      <c r="N28" s="111">
        <f>LOOKUP(C28,'TABLA ANTIG.'!$A$4:$A$39,'TABLA ANTIG.'!$B$4:$B$39)*(K28)</f>
        <v>0</v>
      </c>
      <c r="O28" s="98">
        <f t="shared" si="1"/>
        <v>53.736480000000007</v>
      </c>
      <c r="P28" s="89">
        <f>IF(D28&gt;48,'DATOS REFERENCIALES'!$D$8+('DATOS REFERENCIALES'!$F$8*10),IF(D28&lt;39,'DATOS REFERENCIALES'!$E$8*D28,((D28-'DATOS REFERENCIALES'!$I$8)*'DATOS REFERENCIALES'!$F$8)+'DATOS REFERENCIALES'!$D$8))</f>
        <v>335.89473684210526</v>
      </c>
      <c r="Q28" s="130">
        <f>LOOKUP(C28,'TABLA ANTIG.'!$A$4:$A$39,'TABLA ANTIG.'!$B$4:$B$39)*(P28)</f>
        <v>0</v>
      </c>
      <c r="R28" s="147">
        <v>0</v>
      </c>
      <c r="S28" s="545">
        <f>IF(C28&gt;11,IF(H28&gt;1134,'DATOS REFERENCIALES'!$C$18,'DATOS REFERENCIALES'!$C$18/20*D28),0)</f>
        <v>0</v>
      </c>
      <c r="T28" s="159">
        <f t="shared" si="11"/>
        <v>926.99601684210529</v>
      </c>
      <c r="U28" s="79">
        <f t="shared" si="2"/>
        <v>101.96956185263159</v>
      </c>
      <c r="V28" s="79">
        <f t="shared" si="3"/>
        <v>27.809880505263159</v>
      </c>
      <c r="W28" s="79">
        <f t="shared" si="3"/>
        <v>27.809880505263159</v>
      </c>
      <c r="X28" s="79">
        <f t="shared" si="4"/>
        <v>18.539920336842105</v>
      </c>
      <c r="Y28" s="79">
        <f t="shared" si="5"/>
        <v>41.714820757894735</v>
      </c>
      <c r="Z28" s="27">
        <f t="shared" si="6"/>
        <v>217.84406395789472</v>
      </c>
      <c r="AA28" s="147">
        <f t="shared" si="7"/>
        <v>709.15195288421057</v>
      </c>
      <c r="AB28" s="147">
        <f>IF(D28&gt;38,'DATOS REFERENCIALES'!$D$10,'DATOS REFERENCIALES'!$E$10*D28)</f>
        <v>119.47368421052632</v>
      </c>
      <c r="AC28" s="654">
        <f>IF(C28&lt;12,IF(H28&gt;1134,'DATOS REFERENCIALES'!$C$17,'DATOS REFERENCIALES'!$C$17/20*D28),0)</f>
        <v>129.19999999999999</v>
      </c>
      <c r="AD28" s="79">
        <f>IF(D28&gt;41,IF((('DATOS REFERENCIALES'!$D$9)-((T28)+(AB28)+(AC28)))&lt;0,0,((('DATOS REFERENCIALES'!$D$9)-((T28)-(Z28)+(AB28)+(AC28))))),IF((('DATOS REFERENCIALES'!$E$9*D28)-(((T28)+(AB28)+(AC28))))&lt;0,0,('DATOS REFERENCIALES'!$E$9*D28)-((T28)-(Z28)+(AB28)+(AC28))))</f>
        <v>469.07436290526311</v>
      </c>
      <c r="AE28" s="130">
        <f t="shared" si="8"/>
        <v>1426.9</v>
      </c>
      <c r="AF28" s="91">
        <f>IF(D28&gt;30,'DATOS REFERENCIALES'!$D$13,('DATOS REFERENCIALES'!$E$13*D28))</f>
        <v>80.666666666666671</v>
      </c>
      <c r="AG28" s="272"/>
      <c r="AH28" s="147" t="e">
        <f>IF(D28&gt;'DATOS REFERENCIALES'!#REF!,'DATOS REFERENCIALES'!#REF!,('DATOS REFERENCIALES'!#REF!*D28))</f>
        <v>#REF!</v>
      </c>
      <c r="AI28" s="79">
        <f t="shared" si="13"/>
        <v>80.666666666666671</v>
      </c>
      <c r="AJ28" s="151">
        <f>IF(D28&gt;'DATOS REFERENCIALES'!$I$12,'DATOS REFERENCIALES'!$D$12,'DATOS REFERENCIALES'!$E$12*D28)</f>
        <v>14</v>
      </c>
      <c r="AK28" s="79">
        <f t="shared" si="14"/>
        <v>1602.2333333333336</v>
      </c>
      <c r="AL28" s="581">
        <f>IF(D28&gt;'DATOS REFERENCIALES'!$I$16,'DATOS REFERENCIALES'!$D$16,'DATOS REFERENCIALES'!$E$16*D28)</f>
        <v>134.82033333333334</v>
      </c>
      <c r="AM28" s="588">
        <f t="shared" si="9"/>
        <v>31.682778333333331</v>
      </c>
      <c r="AN28" s="587">
        <f t="shared" si="10"/>
        <v>103.13755500000001</v>
      </c>
      <c r="AO28" s="581">
        <f t="shared" si="12"/>
        <v>1705.3708883333336</v>
      </c>
      <c r="AP28" s="17"/>
      <c r="AQ28" s="17"/>
      <c r="AU28" s="8"/>
    </row>
    <row r="29" spans="1:47" s="1" customFormat="1" ht="21.75" customHeight="1" thickBot="1" x14ac:dyDescent="0.25">
      <c r="A29" s="75">
        <v>1599</v>
      </c>
      <c r="B29" s="102" t="s">
        <v>99</v>
      </c>
      <c r="C29" s="57">
        <v>0</v>
      </c>
      <c r="D29" s="57">
        <v>1</v>
      </c>
      <c r="E29" s="57"/>
      <c r="F29" s="57"/>
      <c r="G29" s="66">
        <v>56</v>
      </c>
      <c r="H29" s="110">
        <f t="shared" si="0"/>
        <v>56</v>
      </c>
      <c r="I29" s="110"/>
      <c r="J29" s="110"/>
      <c r="K29" s="90">
        <f>(H29*'DATOS REFERENCIALES'!$C$4)*D29</f>
        <v>537.36480000000006</v>
      </c>
      <c r="L29" s="188"/>
      <c r="M29" s="188"/>
      <c r="N29" s="112">
        <f>LOOKUP(C29,'TABLA ANTIG.'!$A$4:$A$39,'TABLA ANTIG.'!$B$4:$B$39)*(K29)</f>
        <v>0</v>
      </c>
      <c r="O29" s="181">
        <f t="shared" si="1"/>
        <v>53.736480000000007</v>
      </c>
      <c r="P29" s="90">
        <f>IF(D29&gt;48,'DATOS REFERENCIALES'!$D$8+('DATOS REFERENCIALES'!$F$8*10),IF(D29&lt;39,'DATOS REFERENCIALES'!$E$8*D29,((D29-'DATOS REFERENCIALES'!$I$8)*'DATOS REFERENCIALES'!$F$8)+'DATOS REFERENCIALES'!$D$8))</f>
        <v>335.89473684210526</v>
      </c>
      <c r="Q29" s="170">
        <f>LOOKUP(C29,'TABLA ANTIG.'!$A$4:$A$39,'TABLA ANTIG.'!$B$4:$B$39)*(P29)</f>
        <v>0</v>
      </c>
      <c r="R29" s="150">
        <v>0</v>
      </c>
      <c r="S29" s="551">
        <f>IF(C29&gt;11,IF(H29&gt;1134,'DATOS REFERENCIALES'!$C$18,'DATOS REFERENCIALES'!$C$18/20*D29),0)</f>
        <v>0</v>
      </c>
      <c r="T29" s="206">
        <f t="shared" si="11"/>
        <v>926.99601684210529</v>
      </c>
      <c r="U29" s="80">
        <f t="shared" si="2"/>
        <v>101.96956185263159</v>
      </c>
      <c r="V29" s="80">
        <f t="shared" si="3"/>
        <v>27.809880505263159</v>
      </c>
      <c r="W29" s="80">
        <f t="shared" si="3"/>
        <v>27.809880505263159</v>
      </c>
      <c r="X29" s="80">
        <f t="shared" si="4"/>
        <v>18.539920336842105</v>
      </c>
      <c r="Y29" s="80">
        <f t="shared" si="5"/>
        <v>41.714820757894735</v>
      </c>
      <c r="Z29" s="28">
        <f t="shared" si="6"/>
        <v>217.84406395789472</v>
      </c>
      <c r="AA29" s="150">
        <f t="shared" si="7"/>
        <v>709.15195288421057</v>
      </c>
      <c r="AB29" s="150">
        <f>IF(D29&gt;38,'DATOS REFERENCIALES'!$D$10,'DATOS REFERENCIALES'!$E$10*D29)</f>
        <v>119.47368421052632</v>
      </c>
      <c r="AC29" s="655">
        <f>IF(C29&lt;12,IF(H29&gt;1134,'DATOS REFERENCIALES'!$C$17,'DATOS REFERENCIALES'!$C$17/20*D29),0)</f>
        <v>129.19999999999999</v>
      </c>
      <c r="AD29" s="80">
        <f>IF(D29&gt;41,IF((('DATOS REFERENCIALES'!$D$9)-((T29)+(AB29)+(AC29)))&lt;0,0,((('DATOS REFERENCIALES'!$D$9)-((T29)-(Z29)+(AB29)+(AC29))))),IF((('DATOS REFERENCIALES'!$E$9*D29)-(((T29)+(AB29)+(AC29))))&lt;0,0,('DATOS REFERENCIALES'!$E$9*D29)-((T29)-(Z29)+(AB29)+(AC29))))</f>
        <v>469.07436290526311</v>
      </c>
      <c r="AE29" s="131">
        <f t="shared" si="8"/>
        <v>1426.9</v>
      </c>
      <c r="AF29" s="92">
        <f>IF(D29&gt;30,'DATOS REFERENCIALES'!$D$13,('DATOS REFERENCIALES'!$E$13*D29))</f>
        <v>80.666666666666671</v>
      </c>
      <c r="AG29" s="270"/>
      <c r="AH29" s="150" t="e">
        <f>IF(D29&gt;'DATOS REFERENCIALES'!#REF!,'DATOS REFERENCIALES'!#REF!,('DATOS REFERENCIALES'!#REF!*D29))</f>
        <v>#REF!</v>
      </c>
      <c r="AI29" s="80">
        <f t="shared" si="13"/>
        <v>80.666666666666671</v>
      </c>
      <c r="AJ29" s="158">
        <f>IF(D29&gt;'DATOS REFERENCIALES'!$I$12,'DATOS REFERENCIALES'!$D$12,'DATOS REFERENCIALES'!$E$12*D29)</f>
        <v>14</v>
      </c>
      <c r="AK29" s="80">
        <f t="shared" si="14"/>
        <v>1602.2333333333336</v>
      </c>
      <c r="AL29" s="582">
        <f>IF(D29&gt;'DATOS REFERENCIALES'!$I$16,'DATOS REFERENCIALES'!$D$16,'DATOS REFERENCIALES'!$E$16*D29)</f>
        <v>134.82033333333334</v>
      </c>
      <c r="AM29" s="590">
        <f t="shared" si="9"/>
        <v>31.682778333333331</v>
      </c>
      <c r="AN29" s="589">
        <f t="shared" si="10"/>
        <v>103.13755500000001</v>
      </c>
      <c r="AO29" s="582">
        <f t="shared" si="12"/>
        <v>1705.3708883333336</v>
      </c>
      <c r="AP29" s="17"/>
      <c r="AQ29" s="17"/>
      <c r="AU29" s="8"/>
    </row>
    <row r="30" spans="1:47" s="1" customFormat="1" ht="15.75" thickBot="1" x14ac:dyDescent="0.25">
      <c r="A30" s="43"/>
      <c r="B30" s="38"/>
      <c r="C30" s="39"/>
      <c r="D30" s="39"/>
      <c r="E30" s="39"/>
      <c r="F30" s="39"/>
      <c r="G30" s="39"/>
      <c r="H30" s="44"/>
      <c r="I30" s="44"/>
      <c r="J30" s="44"/>
      <c r="K30" s="40"/>
      <c r="L30" s="40"/>
      <c r="M30" s="40"/>
      <c r="N30" s="42"/>
      <c r="O30" s="42"/>
      <c r="P30" s="41"/>
      <c r="Q30" s="40"/>
      <c r="R30" s="42"/>
      <c r="S30" s="42"/>
      <c r="T30" s="42"/>
      <c r="U30" s="42"/>
      <c r="V30" s="42"/>
      <c r="W30" s="42"/>
      <c r="X30" s="42"/>
      <c r="Y30" s="42"/>
      <c r="Z30" s="42"/>
      <c r="AA30" s="45"/>
      <c r="AB30" s="46"/>
      <c r="AC30" s="46"/>
      <c r="AD30" s="45"/>
      <c r="AE30" s="45"/>
      <c r="AF30" s="47"/>
      <c r="AG30" s="47"/>
      <c r="AH30" s="47"/>
      <c r="AI30" s="47"/>
      <c r="AJ30" s="47"/>
      <c r="AK30" s="45"/>
      <c r="AL30" s="13"/>
      <c r="AM30" s="13"/>
      <c r="AN30" s="13"/>
      <c r="AO30" s="16"/>
      <c r="AP30" s="17"/>
      <c r="AQ30" s="17"/>
      <c r="AU30" s="8"/>
    </row>
    <row r="31" spans="1:47" s="1" customFormat="1" ht="21" thickBot="1" x14ac:dyDescent="0.35">
      <c r="A31" s="94" t="s">
        <v>134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763" t="s">
        <v>134</v>
      </c>
      <c r="AF31" s="764"/>
      <c r="AG31" s="764"/>
      <c r="AH31" s="764"/>
      <c r="AI31" s="764"/>
      <c r="AJ31" s="764"/>
      <c r="AK31" s="764"/>
      <c r="AL31" s="13"/>
      <c r="AM31" s="574">
        <v>0.23499999999999999</v>
      </c>
      <c r="AN31" s="13"/>
      <c r="AO31" s="16"/>
      <c r="AP31" s="17"/>
      <c r="AQ31" s="17"/>
    </row>
    <row r="32" spans="1:47" s="2" customFormat="1" ht="12.75" customHeight="1" thickBot="1" x14ac:dyDescent="0.25">
      <c r="A32" s="726" t="s">
        <v>1</v>
      </c>
      <c r="B32" s="726" t="s">
        <v>0</v>
      </c>
      <c r="C32" s="658" t="s">
        <v>77</v>
      </c>
      <c r="D32" s="658" t="s">
        <v>119</v>
      </c>
      <c r="E32" s="658" t="s">
        <v>127</v>
      </c>
      <c r="F32" s="658" t="s">
        <v>113</v>
      </c>
      <c r="G32" s="658" t="s">
        <v>102</v>
      </c>
      <c r="H32" s="658" t="s">
        <v>79</v>
      </c>
      <c r="I32" s="658" t="s">
        <v>147</v>
      </c>
      <c r="J32" s="684" t="s">
        <v>146</v>
      </c>
      <c r="K32" s="684" t="s">
        <v>121</v>
      </c>
      <c r="L32" s="684" t="s">
        <v>145</v>
      </c>
      <c r="M32" s="684" t="s">
        <v>146</v>
      </c>
      <c r="N32" s="761" t="s">
        <v>85</v>
      </c>
      <c r="O32" s="686" t="s">
        <v>120</v>
      </c>
      <c r="P32" s="697" t="s">
        <v>86</v>
      </c>
      <c r="Q32" s="686" t="s">
        <v>101</v>
      </c>
      <c r="R32" s="686" t="s">
        <v>84</v>
      </c>
      <c r="S32" s="658" t="s">
        <v>209</v>
      </c>
      <c r="T32" s="686" t="s">
        <v>69</v>
      </c>
      <c r="U32" s="701" t="s">
        <v>59</v>
      </c>
      <c r="V32" s="701"/>
      <c r="W32" s="701"/>
      <c r="X32" s="701"/>
      <c r="Y32" s="701"/>
      <c r="Z32" s="658" t="s">
        <v>68</v>
      </c>
      <c r="AA32" s="682" t="s">
        <v>89</v>
      </c>
      <c r="AB32" s="658" t="s">
        <v>88</v>
      </c>
      <c r="AC32" s="658" t="s">
        <v>208</v>
      </c>
      <c r="AD32" s="658" t="s">
        <v>87</v>
      </c>
      <c r="AE32" s="658" t="s">
        <v>91</v>
      </c>
      <c r="AF32" s="658" t="s">
        <v>90</v>
      </c>
      <c r="AG32" s="658" t="s">
        <v>173</v>
      </c>
      <c r="AH32" s="658" t="s">
        <v>190</v>
      </c>
      <c r="AI32" s="658" t="s">
        <v>196</v>
      </c>
      <c r="AJ32" s="696" t="s">
        <v>174</v>
      </c>
      <c r="AK32" s="658" t="s">
        <v>92</v>
      </c>
      <c r="AL32" s="658" t="s">
        <v>186</v>
      </c>
      <c r="AM32" s="682" t="s">
        <v>68</v>
      </c>
      <c r="AN32" s="658" t="s">
        <v>188</v>
      </c>
      <c r="AO32" s="658" t="s">
        <v>189</v>
      </c>
      <c r="AP32" s="17"/>
      <c r="AQ32" s="17"/>
    </row>
    <row r="33" spans="1:47" s="2" customFormat="1" ht="89.25" customHeight="1" thickBot="1" x14ac:dyDescent="0.25">
      <c r="A33" s="727"/>
      <c r="B33" s="727"/>
      <c r="C33" s="679"/>
      <c r="D33" s="679"/>
      <c r="E33" s="679"/>
      <c r="F33" s="679"/>
      <c r="G33" s="679"/>
      <c r="H33" s="679"/>
      <c r="I33" s="679"/>
      <c r="J33" s="685"/>
      <c r="K33" s="685"/>
      <c r="L33" s="685"/>
      <c r="M33" s="685"/>
      <c r="N33" s="762"/>
      <c r="O33" s="687"/>
      <c r="P33" s="698"/>
      <c r="Q33" s="687"/>
      <c r="R33" s="719"/>
      <c r="S33" s="679"/>
      <c r="T33" s="770"/>
      <c r="U33" s="97" t="s">
        <v>140</v>
      </c>
      <c r="V33" s="97" t="s">
        <v>61</v>
      </c>
      <c r="W33" s="97" t="s">
        <v>62</v>
      </c>
      <c r="X33" s="97" t="s">
        <v>63</v>
      </c>
      <c r="Y33" s="144" t="s">
        <v>64</v>
      </c>
      <c r="Z33" s="659"/>
      <c r="AA33" s="760"/>
      <c r="AB33" s="659"/>
      <c r="AC33" s="659"/>
      <c r="AD33" s="659"/>
      <c r="AE33" s="659"/>
      <c r="AF33" s="659"/>
      <c r="AG33" s="679"/>
      <c r="AH33" s="679"/>
      <c r="AI33" s="679"/>
      <c r="AJ33" s="679"/>
      <c r="AK33" s="659"/>
      <c r="AL33" s="679"/>
      <c r="AM33" s="683"/>
      <c r="AN33" s="679"/>
      <c r="AO33" s="679"/>
      <c r="AP33" s="17"/>
      <c r="AQ33" s="17"/>
    </row>
    <row r="34" spans="1:47" s="1" customFormat="1" ht="21.75" customHeight="1" x14ac:dyDescent="0.2">
      <c r="A34" s="337">
        <v>5080</v>
      </c>
      <c r="B34" s="488" t="s">
        <v>23</v>
      </c>
      <c r="C34" s="337">
        <v>0</v>
      </c>
      <c r="D34" s="489"/>
      <c r="E34" s="489"/>
      <c r="F34" s="489"/>
      <c r="G34" s="473">
        <v>3128</v>
      </c>
      <c r="H34" s="437">
        <f t="shared" ref="H34:H50" si="15">SUM(G34:G34)</f>
        <v>3128</v>
      </c>
      <c r="I34" s="437"/>
      <c r="J34" s="437"/>
      <c r="K34" s="342">
        <f>H34*'DATOS REFERENCIALES'!$C$4</f>
        <v>30015.662400000001</v>
      </c>
      <c r="L34" s="342"/>
      <c r="M34" s="342"/>
      <c r="N34" s="344">
        <f>LOOKUP(C34,'TABLA ANTIG.'!$A$4:$A$39,'TABLA ANTIG.'!$B$4:$B$39)*(K34)</f>
        <v>0</v>
      </c>
      <c r="O34" s="344">
        <f t="shared" ref="O34:O50" si="16">K34*0.1</f>
        <v>3001.5662400000001</v>
      </c>
      <c r="P34" s="490">
        <f>'DATOS REFERENCIALES'!$D$8</f>
        <v>12764</v>
      </c>
      <c r="Q34" s="344">
        <f>LOOKUP(C34,'TABLA ANTIG.'!$A$4:$A$39,'TABLA ANTIG.'!$B$4:$B$39)*(P34)</f>
        <v>0</v>
      </c>
      <c r="R34" s="491">
        <v>0</v>
      </c>
      <c r="S34" s="344">
        <f>IF(C34&gt;11,IF(H34&gt;1134,'DATOS REFERENCIALES'!$C$18,'DATOS REFERENCIALES'!$C$18/1135*H34),0)</f>
        <v>0</v>
      </c>
      <c r="T34" s="344">
        <f>K34+N34+O34+P34+Q34+R34+S34</f>
        <v>45781.228640000001</v>
      </c>
      <c r="U34" s="344">
        <f t="shared" ref="U34:U50" si="17">$T34*11%</f>
        <v>5035.9351504000006</v>
      </c>
      <c r="V34" s="344">
        <f t="shared" ref="V34:W50" si="18">$T34*3%</f>
        <v>1373.4368592000001</v>
      </c>
      <c r="W34" s="344">
        <f t="shared" si="18"/>
        <v>1373.4368592000001</v>
      </c>
      <c r="X34" s="344">
        <f t="shared" ref="X34:X50" si="19">$T34*2%</f>
        <v>915.62457280000001</v>
      </c>
      <c r="Y34" s="343">
        <f t="shared" ref="Y34:Y50" si="20">$T34*4.5%</f>
        <v>2060.1552888000001</v>
      </c>
      <c r="Z34" s="344">
        <f t="shared" ref="Z34:Z50" si="21">SUM(U34:Y34)</f>
        <v>10758.588730400001</v>
      </c>
      <c r="AA34" s="348">
        <f t="shared" ref="AA34:AA50" si="22">T34-Z34</f>
        <v>35022.639909600002</v>
      </c>
      <c r="AB34" s="368">
        <f>'DATOS REFERENCIALES'!$D$10</f>
        <v>4540</v>
      </c>
      <c r="AC34" s="422">
        <f>IF(C34&lt;12,IF(H34&gt;2069,'DATOS REFERENCIALES'!$D$17,'DATOS REFERENCIALES'!$D$17/2070*H34),0)</f>
        <v>5168</v>
      </c>
      <c r="AD34" s="422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12345.360090400005</v>
      </c>
      <c r="AE34" s="344">
        <f t="shared" ref="AE34:AE50" si="23">SUM(AA34:AD34)</f>
        <v>57076.000000000007</v>
      </c>
      <c r="AF34" s="349">
        <f>'DATOS REFERENCIALES'!$D$13</f>
        <v>2420</v>
      </c>
      <c r="AG34" s="370"/>
      <c r="AH34" s="348" t="e">
        <f>IF($H34&gt;2042,'DATOS REFERENCIALES'!#REF!,'DATOS REFERENCIALES'!#REF!/2043*$H34)</f>
        <v>#REF!</v>
      </c>
      <c r="AI34" s="343">
        <f>+AF34</f>
        <v>2420</v>
      </c>
      <c r="AJ34" s="347">
        <f>'DATOS REFERENCIALES'!$D$12</f>
        <v>420</v>
      </c>
      <c r="AK34" s="676">
        <f>+AE34+AE35+AF34+AI34+AJ34</f>
        <v>67008.763283275999</v>
      </c>
      <c r="AL34" s="753">
        <f>'DATOS REFERENCIALES'!D16</f>
        <v>4044.61</v>
      </c>
      <c r="AM34" s="753">
        <f>AL34*$AM$31</f>
        <v>950.48334999999997</v>
      </c>
      <c r="AN34" s="753">
        <f>AL34-AM34</f>
        <v>3094.1266500000002</v>
      </c>
      <c r="AO34" s="751">
        <f>AK34+AN34</f>
        <v>70102.889933276005</v>
      </c>
      <c r="AP34" s="17"/>
      <c r="AQ34" s="17"/>
      <c r="AU34" s="8"/>
    </row>
    <row r="35" spans="1:47" s="1" customFormat="1" ht="26.25" customHeight="1" thickBot="1" x14ac:dyDescent="0.25">
      <c r="A35" s="352">
        <v>5080</v>
      </c>
      <c r="B35" s="492" t="s">
        <v>23</v>
      </c>
      <c r="C35" s="352">
        <f>IF(C34&gt;0,C34,0)</f>
        <v>0</v>
      </c>
      <c r="D35" s="493"/>
      <c r="E35" s="493"/>
      <c r="F35" s="493"/>
      <c r="G35" s="474"/>
      <c r="H35" s="475"/>
      <c r="I35" s="614">
        <f>234.6/'DATOS REFERENCIALES'!$I$4*'DATOS REFERENCIALES'!$J$4</f>
        <v>390.99999999999994</v>
      </c>
      <c r="J35" s="356" t="s">
        <v>149</v>
      </c>
      <c r="K35" s="357"/>
      <c r="L35" s="357">
        <f>I35*'DATOS REFERENCIALES'!$C$4</f>
        <v>3751.9577999999997</v>
      </c>
      <c r="M35" s="357">
        <f>IF(J35='DATOS REFERENCIALES'!$C$31,K34*'DATOS REFERENCIALES'!$D$31,IF(J35='DATOS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REFERENCIALES'!$D$37*K34),IF(J35='DATOS REFERENCIALES'!$C$38,('DATOS REFERENCIALES'!$D$38*K34),0))))))))</f>
        <v>1800.939744</v>
      </c>
      <c r="N35" s="359">
        <f>LOOKUP(C35,'TABLA ANTIG.'!$A$4:$A$39,'TABLA ANTIG.'!$B$4:$B$39)*(L35+M35)</f>
        <v>0</v>
      </c>
      <c r="O35" s="359">
        <f>(L35+M35)*0.1</f>
        <v>555.28975439999999</v>
      </c>
      <c r="P35" s="357"/>
      <c r="Q35" s="359"/>
      <c r="R35" s="359"/>
      <c r="S35" s="359"/>
      <c r="T35" s="359">
        <f>L35+M35+N35+O35+P35+Q35+R35</f>
        <v>6108.1872983999992</v>
      </c>
      <c r="U35" s="362">
        <f t="shared" si="17"/>
        <v>671.90060282399998</v>
      </c>
      <c r="V35" s="359">
        <f t="shared" si="18"/>
        <v>183.24561895199997</v>
      </c>
      <c r="W35" s="362">
        <f t="shared" si="18"/>
        <v>183.24561895199997</v>
      </c>
      <c r="X35" s="359">
        <f>$T35*2%</f>
        <v>122.16374596799999</v>
      </c>
      <c r="Y35" s="359">
        <f t="shared" si="20"/>
        <v>274.86842842799996</v>
      </c>
      <c r="Z35" s="359">
        <f t="shared" si="21"/>
        <v>1435.4240151239999</v>
      </c>
      <c r="AA35" s="363">
        <f t="shared" si="22"/>
        <v>4672.7632832759991</v>
      </c>
      <c r="AB35" s="359"/>
      <c r="AC35" s="362"/>
      <c r="AD35" s="359"/>
      <c r="AE35" s="358">
        <f t="shared" si="23"/>
        <v>4672.7632832759991</v>
      </c>
      <c r="AF35" s="364"/>
      <c r="AG35" s="376"/>
      <c r="AH35" s="358"/>
      <c r="AI35" s="358"/>
      <c r="AJ35" s="359"/>
      <c r="AK35" s="677"/>
      <c r="AL35" s="754"/>
      <c r="AM35" s="754"/>
      <c r="AN35" s="754"/>
      <c r="AO35" s="752"/>
      <c r="AP35" s="17"/>
      <c r="AQ35" s="17"/>
      <c r="AU35" s="8"/>
    </row>
    <row r="36" spans="1:47" s="1" customFormat="1" ht="27.75" customHeight="1" x14ac:dyDescent="0.2">
      <c r="A36" s="276">
        <v>5014</v>
      </c>
      <c r="B36" s="497" t="s">
        <v>32</v>
      </c>
      <c r="C36" s="276">
        <v>0</v>
      </c>
      <c r="D36" s="276"/>
      <c r="E36" s="276"/>
      <c r="F36" s="276"/>
      <c r="G36" s="476">
        <v>2415</v>
      </c>
      <c r="H36" s="462">
        <f t="shared" si="15"/>
        <v>2415</v>
      </c>
      <c r="I36" s="628"/>
      <c r="J36" s="462"/>
      <c r="K36" s="278">
        <f>H36*'DATOS REFERENCIALES'!$C$4</f>
        <v>23173.857</v>
      </c>
      <c r="L36" s="278"/>
      <c r="M36" s="278"/>
      <c r="N36" s="280">
        <f>LOOKUP(C36,'TABLA ANTIG.'!$A$4:$A$39,'TABLA ANTIG.'!$B$4:$B$39)*(K36)</f>
        <v>0</v>
      </c>
      <c r="O36" s="280">
        <f t="shared" si="16"/>
        <v>2317.3857000000003</v>
      </c>
      <c r="P36" s="278">
        <f>'DATOS REFERENCIALES'!$C$8</f>
        <v>6382</v>
      </c>
      <c r="Q36" s="280">
        <f>LOOKUP(C36,'TABLA ANTIG.'!$A$4:$A$39,'TABLA ANTIG.'!$B$4:$B$39)*(P36)</f>
        <v>0</v>
      </c>
      <c r="R36" s="415">
        <v>0</v>
      </c>
      <c r="S36" s="280">
        <f>IF(C36&gt;11,IF(H36&gt;1134,'DATOS REFERENCIALES'!$C$18,'DATOS REFERENCIALES'!$C$18/1135*H36),0)</f>
        <v>0</v>
      </c>
      <c r="T36" s="415">
        <f>K36+N36+O36+P36+Q36+R36+S36</f>
        <v>31873.242699999999</v>
      </c>
      <c r="U36" s="415">
        <f t="shared" si="17"/>
        <v>3506.056697</v>
      </c>
      <c r="V36" s="415">
        <f t="shared" si="18"/>
        <v>956.19728099999998</v>
      </c>
      <c r="W36" s="415">
        <f t="shared" si="18"/>
        <v>956.19728099999998</v>
      </c>
      <c r="X36" s="415">
        <f t="shared" si="19"/>
        <v>637.46485399999995</v>
      </c>
      <c r="Y36" s="498">
        <f t="shared" si="20"/>
        <v>1434.2959214999998</v>
      </c>
      <c r="Z36" s="415">
        <f t="shared" si="21"/>
        <v>7490.2120344999994</v>
      </c>
      <c r="AA36" s="414">
        <f t="shared" si="22"/>
        <v>24383.030665499999</v>
      </c>
      <c r="AB36" s="415">
        <f>'DATOS REFERENCIALES'!$C$10</f>
        <v>2270</v>
      </c>
      <c r="AC36" s="283">
        <f>IF(C36&lt;12,IF(H36&gt;1134,'DATOS REFERENCIALES'!$C$17,'DATOS REFERENCIALES'!$C$17/1135*H36),0)</f>
        <v>2584</v>
      </c>
      <c r="AD36" s="415">
        <f>IF((IF(H36&gt;1134,('DATOS REFERENCIALES'!$C$9-(T36-U36-V36-W36-X36-Y36+AB36+AC36-L36-L36*0.235)),(('DATOS REFERENCIALES'!$C$9/1135)*H36)-(K36+N36+O36+P36+Q36+S36-U36-V36-W36-X36-Y36+AB36+AC36-(L36-L36*0.235))))&lt;0,0,IF(H36&gt;1134,(('DATOS REFERENCIALES'!$C$9)-(T36-U36-V36-W36-X36-Y36+AB36+AC36-(L36-L36*0.235))),(('DATOS REFERENCIALES'!$C$9/1135)*H36)-(K36+N36+O36+P36+Q36+S36-U36-V36-W36-X36-Y36+AB36+AC36-(L36-L36*0.235))))</f>
        <v>0</v>
      </c>
      <c r="AE36" s="415">
        <f t="shared" si="23"/>
        <v>29237.030665499999</v>
      </c>
      <c r="AF36" s="528">
        <f>'DATOS REFERENCIALES'!$C$13</f>
        <v>1210</v>
      </c>
      <c r="AG36" s="399"/>
      <c r="AH36" s="414" t="e">
        <f>IF($H36&gt;1119,'DATOS REFERENCIALES'!#REF!,'DATOS REFERENCIALES'!#REF!/1120*$H36)</f>
        <v>#REF!</v>
      </c>
      <c r="AI36" s="414">
        <f>+AF36</f>
        <v>1210</v>
      </c>
      <c r="AJ36" s="415">
        <f>'DATOS REFERENCIALES'!$C$12</f>
        <v>210</v>
      </c>
      <c r="AK36" s="664">
        <f>+AE36+AE37+AF36+AI36+AJ36</f>
        <v>34304.698039234994</v>
      </c>
      <c r="AL36" s="755">
        <f>'DATOS REFERENCIALES'!C16</f>
        <v>2022.3050000000001</v>
      </c>
      <c r="AM36" s="755">
        <f>AL36*$AM$31</f>
        <v>475.24167499999999</v>
      </c>
      <c r="AN36" s="755">
        <f>AL36-AM36</f>
        <v>1547.0633250000001</v>
      </c>
      <c r="AO36" s="747">
        <f>AK36+AN36</f>
        <v>35851.761364234997</v>
      </c>
      <c r="AP36" s="17"/>
      <c r="AQ36" s="17"/>
      <c r="AU36" s="8"/>
    </row>
    <row r="37" spans="1:47" s="1" customFormat="1" ht="26.25" customHeight="1" thickBot="1" x14ac:dyDescent="0.25">
      <c r="A37" s="328">
        <v>5014</v>
      </c>
      <c r="B37" s="499" t="s">
        <v>32</v>
      </c>
      <c r="C37" s="288">
        <f>IF(C36&gt;0,C36,0)</f>
        <v>0</v>
      </c>
      <c r="D37" s="328"/>
      <c r="E37" s="328"/>
      <c r="F37" s="328"/>
      <c r="G37" s="482"/>
      <c r="H37" s="483"/>
      <c r="I37" s="621">
        <f>181.13/'DATOS REFERENCIALES'!$I$4*'DATOS REFERENCIALES'!$J$4</f>
        <v>301.88333333333333</v>
      </c>
      <c r="J37" s="419"/>
      <c r="K37" s="332"/>
      <c r="L37" s="332">
        <f>I37*'DATOS REFERENCIALES'!$C$4</f>
        <v>2896.8120899999999</v>
      </c>
      <c r="M37" s="332">
        <f>IF(J37='DATOS REFERENCIALES'!$C$31,K36*'DATOS REFERENCIALES'!$D$31,IF(J37='DATOS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REFERENCIALES'!$D$37*K36),IF(J37='DATOS REFERENCIALES'!$C$38,('DATOS REFERENCIALES'!$D$38*K36),0))))))))</f>
        <v>0</v>
      </c>
      <c r="N37" s="299">
        <f>LOOKUP(C37,'TABLA ANTIG.'!$A$4:$A$39,'TABLA ANTIG.'!$B$4:$B$39)*(L37+M37)</f>
        <v>0</v>
      </c>
      <c r="O37" s="299">
        <f>(L37+M37)*0.1</f>
        <v>289.68120900000002</v>
      </c>
      <c r="P37" s="332"/>
      <c r="Q37" s="299"/>
      <c r="R37" s="299"/>
      <c r="S37" s="333"/>
      <c r="T37" s="299">
        <f>L37+M37+N37+O37+P37+Q37+R37</f>
        <v>3186.4932989999998</v>
      </c>
      <c r="U37" s="333">
        <f t="shared" si="17"/>
        <v>350.51426289</v>
      </c>
      <c r="V37" s="299">
        <f t="shared" si="18"/>
        <v>95.594798969999985</v>
      </c>
      <c r="W37" s="333">
        <f t="shared" si="18"/>
        <v>95.594798969999985</v>
      </c>
      <c r="X37" s="299">
        <f>$T37*2%</f>
        <v>63.72986598</v>
      </c>
      <c r="Y37" s="299">
        <f t="shared" si="20"/>
        <v>143.39219845499997</v>
      </c>
      <c r="Z37" s="299">
        <f t="shared" si="21"/>
        <v>748.82592526499991</v>
      </c>
      <c r="AA37" s="334">
        <f t="shared" si="22"/>
        <v>2437.6673737349997</v>
      </c>
      <c r="AB37" s="299"/>
      <c r="AC37" s="652"/>
      <c r="AD37" s="299"/>
      <c r="AE37" s="297">
        <f t="shared" si="23"/>
        <v>2437.6673737349997</v>
      </c>
      <c r="AF37" s="526"/>
      <c r="AG37" s="405"/>
      <c r="AH37" s="297"/>
      <c r="AI37" s="297"/>
      <c r="AJ37" s="299"/>
      <c r="AK37" s="665"/>
      <c r="AL37" s="759"/>
      <c r="AM37" s="759"/>
      <c r="AN37" s="759"/>
      <c r="AO37" s="748"/>
      <c r="AP37" s="17"/>
      <c r="AQ37" s="17"/>
      <c r="AU37" s="8"/>
    </row>
    <row r="38" spans="1:47" s="1" customFormat="1" ht="25.5" customHeight="1" x14ac:dyDescent="0.2">
      <c r="A38" s="302">
        <v>5013</v>
      </c>
      <c r="B38" s="494" t="s">
        <v>51</v>
      </c>
      <c r="C38" s="302">
        <v>0</v>
      </c>
      <c r="D38" s="302"/>
      <c r="E38" s="302"/>
      <c r="F38" s="302"/>
      <c r="G38" s="485">
        <v>2421</v>
      </c>
      <c r="H38" s="453">
        <f t="shared" si="15"/>
        <v>2421</v>
      </c>
      <c r="I38" s="629"/>
      <c r="J38" s="453"/>
      <c r="K38" s="304">
        <f>H38*'DATOS REFERENCIALES'!$C$4</f>
        <v>23231.431800000002</v>
      </c>
      <c r="L38" s="304"/>
      <c r="M38" s="304"/>
      <c r="N38" s="306">
        <f>LOOKUP(C38,'TABLA ANTIG.'!$A$4:$A$39,'TABLA ANTIG.'!$B$4:$B$39)*(K38)</f>
        <v>0</v>
      </c>
      <c r="O38" s="306">
        <f t="shared" si="16"/>
        <v>2323.1431800000005</v>
      </c>
      <c r="P38" s="304">
        <f>'DATOS REFERENCIALES'!$C$8</f>
        <v>6382</v>
      </c>
      <c r="Q38" s="306">
        <f>LOOKUP(C38,'TABLA ANTIG.'!$A$4:$A$39,'TABLA ANTIG.'!$B$4:$B$39)*(P38)</f>
        <v>0</v>
      </c>
      <c r="R38" s="411">
        <v>0</v>
      </c>
      <c r="S38" s="306">
        <f>IF(C38&gt;11,IF(H38&gt;1134,'DATOS REFERENCIALES'!$C$18,'DATOS REFERENCIALES'!$C$18/1135*H38),0)</f>
        <v>0</v>
      </c>
      <c r="T38" s="411">
        <f>K38+N38+O38+P38+Q38+R38+S38</f>
        <v>31936.574980000001</v>
      </c>
      <c r="U38" s="411">
        <f t="shared" si="17"/>
        <v>3513.0232478000003</v>
      </c>
      <c r="V38" s="411">
        <f t="shared" si="18"/>
        <v>958.09724940000001</v>
      </c>
      <c r="W38" s="411">
        <f t="shared" si="18"/>
        <v>958.09724940000001</v>
      </c>
      <c r="X38" s="411">
        <f t="shared" si="19"/>
        <v>638.73149960000001</v>
      </c>
      <c r="Y38" s="495">
        <f t="shared" si="20"/>
        <v>1437.1458740999999</v>
      </c>
      <c r="Z38" s="411">
        <f t="shared" si="21"/>
        <v>7505.0951202999995</v>
      </c>
      <c r="AA38" s="410">
        <f t="shared" si="22"/>
        <v>24431.479859700001</v>
      </c>
      <c r="AB38" s="411">
        <f>'DATOS REFERENCIALES'!$C$10</f>
        <v>2270</v>
      </c>
      <c r="AC38" s="308">
        <f>IF(C38&lt;12,IF(H38&gt;1134,'DATOS REFERENCIALES'!$C$17,'DATOS REFERENCIALES'!$C$17/1135*H38),0)</f>
        <v>2584</v>
      </c>
      <c r="AD38" s="411">
        <f>IF((IF(H38&gt;1134,('DATOS REFERENCIALES'!$C$9-(T38-U38-V38-W38-X38-Y38+AB38+AC38-L38-L38*0.235)),(('DATOS REFERENCIALES'!$C$9/1135)*H38)-(K38+N38+O38+P38+Q38+S38-U38-V38-W38-X38-Y38+AB38+AC38-(L38-L38*0.235))))&lt;0,0,IF(H38&gt;1134,(('DATOS REFERENCIALES'!$C$9)-(T38-U38-V38-W38-X38-Y38+AB38+AC38-(L38-L38*0.235))),(('DATOS REFERENCIALES'!$C$9/1135)*H38)-(K38+N38+O38+P38+Q38+S38-U38-V38-W38-X38-Y38+AB38+AC38-(L38-L38*0.235))))</f>
        <v>0</v>
      </c>
      <c r="AE38" s="411">
        <f t="shared" si="23"/>
        <v>29285.479859700001</v>
      </c>
      <c r="AF38" s="529">
        <f>'DATOS REFERENCIALES'!$C$13</f>
        <v>1210</v>
      </c>
      <c r="AG38" s="383"/>
      <c r="AH38" s="410" t="e">
        <f>IF($H38&gt;1119,'DATOS REFERENCIALES'!#REF!,'DATOS REFERENCIALES'!#REF!/1120*$H38)</f>
        <v>#REF!</v>
      </c>
      <c r="AI38" s="410">
        <f>+AF38</f>
        <v>1210</v>
      </c>
      <c r="AJ38" s="411">
        <f>'DATOS REFERENCIALES'!$C$12</f>
        <v>210</v>
      </c>
      <c r="AK38" s="670">
        <f>+AE38+AE39+AF38+AI38+AJ38</f>
        <v>34359.203382710002</v>
      </c>
      <c r="AL38" s="757">
        <f>'DATOS REFERENCIALES'!C16</f>
        <v>2022.3050000000001</v>
      </c>
      <c r="AM38" s="757">
        <f>AL38*$AM$31</f>
        <v>475.24167499999999</v>
      </c>
      <c r="AN38" s="757">
        <f>AL38-AM38</f>
        <v>1547.0633250000001</v>
      </c>
      <c r="AO38" s="749">
        <f>AK38+AN38</f>
        <v>35906.266707710005</v>
      </c>
      <c r="AP38" s="17"/>
      <c r="AQ38" s="17"/>
      <c r="AU38" s="8"/>
    </row>
    <row r="39" spans="1:47" s="1" customFormat="1" ht="30.75" customHeight="1" thickBot="1" x14ac:dyDescent="0.25">
      <c r="A39" s="314">
        <v>5013</v>
      </c>
      <c r="B39" s="496" t="s">
        <v>51</v>
      </c>
      <c r="C39" s="314">
        <f>IF(C38&gt;0,C38,0)</f>
        <v>0</v>
      </c>
      <c r="D39" s="314"/>
      <c r="E39" s="314"/>
      <c r="F39" s="314"/>
      <c r="G39" s="486"/>
      <c r="H39" s="487"/>
      <c r="I39" s="617">
        <f>181.58/'DATOS REFERENCIALES'!$I$4*'DATOS REFERENCIALES'!$J$4</f>
        <v>302.63333333333333</v>
      </c>
      <c r="J39" s="413"/>
      <c r="K39" s="316"/>
      <c r="L39" s="316">
        <f>I39*'DATOS REFERENCIALES'!$C$4</f>
        <v>2904.0089400000002</v>
      </c>
      <c r="M39" s="316">
        <f>IF(J39='DATOS REFERENCIALES'!$C$31,K38*'DATOS REFERENCIALES'!$D$31,IF(J39='DATOS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REFERENCIALES'!$D$37*K38),IF(J39='DATOS REFERENCIALES'!$C$38,('DATOS REFERENCIALES'!$D$38*K38),0))))))))</f>
        <v>0</v>
      </c>
      <c r="N39" s="320">
        <f>LOOKUP(C39,'TABLA ANTIG.'!$A$4:$A$39,'TABLA ANTIG.'!$B$4:$B$39)*(L39+M39)</f>
        <v>0</v>
      </c>
      <c r="O39" s="320">
        <f>(L39+M39)*0.1</f>
        <v>290.40089400000005</v>
      </c>
      <c r="P39" s="316"/>
      <c r="Q39" s="320"/>
      <c r="R39" s="320"/>
      <c r="S39" s="458"/>
      <c r="T39" s="320">
        <f>L39+M39+N39+O39+P39+Q39+R39</f>
        <v>3194.409834</v>
      </c>
      <c r="U39" s="321">
        <f t="shared" si="17"/>
        <v>351.38508174000003</v>
      </c>
      <c r="V39" s="320">
        <f t="shared" si="18"/>
        <v>95.832295020000004</v>
      </c>
      <c r="W39" s="321">
        <f t="shared" si="18"/>
        <v>95.832295020000004</v>
      </c>
      <c r="X39" s="320">
        <f>$T39*2%</f>
        <v>63.88819668</v>
      </c>
      <c r="Y39" s="320">
        <f t="shared" si="20"/>
        <v>143.74844253000001</v>
      </c>
      <c r="Z39" s="320">
        <f t="shared" si="21"/>
        <v>750.68631099000004</v>
      </c>
      <c r="AA39" s="323">
        <f t="shared" si="22"/>
        <v>2443.72352301</v>
      </c>
      <c r="AB39" s="320"/>
      <c r="AC39" s="320"/>
      <c r="AD39" s="458"/>
      <c r="AE39" s="322">
        <f t="shared" si="23"/>
        <v>2443.72352301</v>
      </c>
      <c r="AF39" s="324"/>
      <c r="AG39" s="390"/>
      <c r="AH39" s="322"/>
      <c r="AI39" s="322"/>
      <c r="AJ39" s="320"/>
      <c r="AK39" s="678"/>
      <c r="AL39" s="758"/>
      <c r="AM39" s="758"/>
      <c r="AN39" s="758"/>
      <c r="AO39" s="750"/>
      <c r="AP39" s="17"/>
      <c r="AQ39" s="17"/>
      <c r="AU39" s="8"/>
    </row>
    <row r="40" spans="1:47" s="1" customFormat="1" ht="27.75" customHeight="1" x14ac:dyDescent="0.2">
      <c r="A40" s="244">
        <v>5033</v>
      </c>
      <c r="B40" s="121" t="s">
        <v>33</v>
      </c>
      <c r="C40" s="119">
        <v>0</v>
      </c>
      <c r="D40" s="119"/>
      <c r="E40" s="119"/>
      <c r="F40" s="119"/>
      <c r="G40" s="242">
        <v>1222</v>
      </c>
      <c r="H40" s="243">
        <f t="shared" si="15"/>
        <v>1222</v>
      </c>
      <c r="I40" s="631"/>
      <c r="J40" s="243"/>
      <c r="K40" s="105">
        <f>H40*'DATOS REFERENCIALES'!$C$4</f>
        <v>11726.0676</v>
      </c>
      <c r="L40" s="105"/>
      <c r="M40" s="105"/>
      <c r="N40" s="106">
        <f>LOOKUP(C40,'TABLA ANTIG.'!$A$4:$A$39,'TABLA ANTIG.'!$B$4:$B$39)*(K40)</f>
        <v>0</v>
      </c>
      <c r="O40" s="113">
        <f t="shared" si="16"/>
        <v>1172.6067600000001</v>
      </c>
      <c r="P40" s="105">
        <f>'DATOS REFERENCIALES'!$C$8</f>
        <v>6382</v>
      </c>
      <c r="Q40" s="106">
        <f>LOOKUP(C40,'TABLA ANTIG.'!$A$4:$A$39,'TABLA ANTIG.'!$B$4:$B$39)*(P40)</f>
        <v>0</v>
      </c>
      <c r="R40" s="98">
        <v>0</v>
      </c>
      <c r="S40" s="543">
        <f>IF(C40&gt;11,IF(H40&gt;1134,'DATOS REFERENCIALES'!$C$18,'DATOS REFERENCIALES'!$C$18/1135*H40),0)</f>
        <v>0</v>
      </c>
      <c r="T40" s="550">
        <f t="shared" ref="T40:T50" si="24">K40+N40+O40+P40+Q40+R40+S40</f>
        <v>19280.674360000001</v>
      </c>
      <c r="U40" s="27">
        <f t="shared" si="17"/>
        <v>2120.8741795999999</v>
      </c>
      <c r="V40" s="27">
        <f t="shared" si="18"/>
        <v>578.42023080000001</v>
      </c>
      <c r="W40" s="27">
        <f t="shared" si="18"/>
        <v>578.42023080000001</v>
      </c>
      <c r="X40" s="27">
        <f t="shared" si="19"/>
        <v>385.61348720000001</v>
      </c>
      <c r="Y40" s="156">
        <f t="shared" si="20"/>
        <v>867.63034619999996</v>
      </c>
      <c r="Z40" s="27">
        <f t="shared" si="21"/>
        <v>4530.9584745999991</v>
      </c>
      <c r="AA40" s="130">
        <f t="shared" si="22"/>
        <v>14749.715885400001</v>
      </c>
      <c r="AB40" s="147">
        <f>'DATOS REFERENCIALES'!$C$10</f>
        <v>2270</v>
      </c>
      <c r="AC40" s="653">
        <f>IF(C40&lt;12,IF(H40&gt;1134,'DATOS REFERENCIALES'!$C$17,'DATOS REFERENCIALES'!$C$17/1135*H40),0)</f>
        <v>2584</v>
      </c>
      <c r="AD40" s="78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8934.2841145999992</v>
      </c>
      <c r="AE40" s="130">
        <f t="shared" si="23"/>
        <v>28538</v>
      </c>
      <c r="AF40" s="91">
        <f>'DATOS REFERENCIALES'!$C$13</f>
        <v>1210</v>
      </c>
      <c r="AG40" s="269"/>
      <c r="AH40" s="78" t="e">
        <f>IF($H40&gt;1119,'DATOS REFERENCIALES'!#REF!,'DATOS REFERENCIALES'!#REF!/1120*$H40)</f>
        <v>#REF!</v>
      </c>
      <c r="AI40" s="78">
        <f>+AF40</f>
        <v>1210</v>
      </c>
      <c r="AJ40" s="79">
        <f>'DATOS REFERENCIALES'!$C$12</f>
        <v>210</v>
      </c>
      <c r="AK40" s="78">
        <f t="shared" ref="AK40:AK47" si="25">+AE40+AF40+AI40+AJ40</f>
        <v>31168</v>
      </c>
      <c r="AL40" s="585">
        <f>'DATOS REFERENCIALES'!C16</f>
        <v>2022.3050000000001</v>
      </c>
      <c r="AM40" s="585">
        <f>AL40*$AM$31</f>
        <v>475.24167499999999</v>
      </c>
      <c r="AN40" s="585">
        <f>AL40-AM40</f>
        <v>1547.0633250000001</v>
      </c>
      <c r="AO40" s="585">
        <f>AK40+AN40</f>
        <v>32715.063324999999</v>
      </c>
      <c r="AP40" s="17"/>
      <c r="AQ40" s="17"/>
      <c r="AU40" s="8"/>
    </row>
    <row r="41" spans="1:47" s="1" customFormat="1" ht="25.5" customHeight="1" x14ac:dyDescent="0.2">
      <c r="A41" s="245">
        <v>5029</v>
      </c>
      <c r="B41" s="120" t="s">
        <v>34</v>
      </c>
      <c r="C41" s="35">
        <v>0</v>
      </c>
      <c r="D41" s="35"/>
      <c r="E41" s="35"/>
      <c r="F41" s="35"/>
      <c r="G41" s="62">
        <v>1120</v>
      </c>
      <c r="H41" s="599">
        <v>1135</v>
      </c>
      <c r="I41" s="632"/>
      <c r="J41" s="49"/>
      <c r="K41" s="89">
        <f>H41*'DATOS REFERENCIALES'!$C$4</f>
        <v>10891.233</v>
      </c>
      <c r="L41" s="89"/>
      <c r="M41" s="89"/>
      <c r="N41" s="79">
        <f>LOOKUP(C41,'TABLA ANTIG.'!$A$4:$A$39,'TABLA ANTIG.'!$B$4:$B$39)*(K41)</f>
        <v>0</v>
      </c>
      <c r="O41" s="27">
        <f t="shared" si="16"/>
        <v>1089.1233</v>
      </c>
      <c r="P41" s="89">
        <f>'DATOS REFERENCIALES'!$C$8</f>
        <v>6382</v>
      </c>
      <c r="Q41" s="79">
        <f>LOOKUP(C41,'TABLA ANTIG.'!$A$4:$A$39,'TABLA ANTIG.'!$B$4:$B$39)*(P41)</f>
        <v>0</v>
      </c>
      <c r="R41" s="98">
        <v>0</v>
      </c>
      <c r="S41" s="545">
        <f>IF(C41&gt;11,IF(H41&gt;1134,'DATOS REFERENCIALES'!$C$18,'DATOS REFERENCIALES'!$C$18/1135*H41),0)</f>
        <v>0</v>
      </c>
      <c r="T41" s="159">
        <f t="shared" si="24"/>
        <v>18362.356299999999</v>
      </c>
      <c r="U41" s="27">
        <f t="shared" si="17"/>
        <v>2019.859193</v>
      </c>
      <c r="V41" s="27">
        <f t="shared" si="18"/>
        <v>550.87068899999997</v>
      </c>
      <c r="W41" s="27">
        <f t="shared" si="18"/>
        <v>550.87068899999997</v>
      </c>
      <c r="X41" s="27">
        <f t="shared" si="19"/>
        <v>367.24712599999998</v>
      </c>
      <c r="Y41" s="156">
        <f t="shared" si="20"/>
        <v>826.3060334999999</v>
      </c>
      <c r="Z41" s="27">
        <f t="shared" si="21"/>
        <v>4315.1537305000002</v>
      </c>
      <c r="AA41" s="130">
        <f t="shared" si="22"/>
        <v>14047.202569499999</v>
      </c>
      <c r="AB41" s="147">
        <f>'DATOS REFERENCIALES'!$C$10</f>
        <v>2270</v>
      </c>
      <c r="AC41" s="654">
        <f>IF(C41&lt;12,IF(H41&gt;1134,'DATOS REFERENCIALES'!$C$17,'DATOS REFERENCIALES'!$C$17/1135*H41),0)</f>
        <v>2584</v>
      </c>
      <c r="AD41" s="79">
        <f>IF((IF(H41&gt;1134,('DATOS REFERENCIALES'!$C$9-(T41-U41-V41-W41-X41-Y41+AB41+AC41-L41-L41*0.235)),(('DATOS REFERENCIALES'!$C$9/1135)*H41)-(K41+N41+O41+P41+Q41+S41-U41-V41-W41-X41-Y41+AB41+AC41-(L41-L41*0.235))))&lt;0,0,IF(H41&gt;1134,(('DATOS REFERENCIALES'!$C$9)-(T41-U41-V41-W41-X41-Y41+AB41+AC41-(L41-L41*0.235))),(('DATOS REFERENCIALES'!$C$9/1135)*H41)-(K41+N41+O41+P41+Q41+S41-U41-V41-W41-X41-Y41+AB41+AC41-(L41-L41*0.235))))</f>
        <v>9636.7974304999989</v>
      </c>
      <c r="AE41" s="130">
        <f t="shared" si="23"/>
        <v>28537.999999999996</v>
      </c>
      <c r="AF41" s="91">
        <f>'DATOS REFERENCIALES'!$C$13</f>
        <v>1210</v>
      </c>
      <c r="AG41" s="272"/>
      <c r="AH41" s="79" t="e">
        <f>IF($H41&gt;1119,'DATOS REFERENCIALES'!#REF!,'DATOS REFERENCIALES'!#REF!/1120*$H41)</f>
        <v>#REF!</v>
      </c>
      <c r="AI41" s="106">
        <f t="shared" ref="AI41:AI50" si="26">+AF41</f>
        <v>1210</v>
      </c>
      <c r="AJ41" s="79">
        <f>'DATOS REFERENCIALES'!$C$12</f>
        <v>210</v>
      </c>
      <c r="AK41" s="79">
        <f t="shared" si="25"/>
        <v>31167.999999999996</v>
      </c>
      <c r="AL41" s="587">
        <f>'DATOS REFERENCIALES'!$C$16</f>
        <v>2022.3050000000001</v>
      </c>
      <c r="AM41" s="587">
        <f t="shared" ref="AM41:AM50" si="27">AL41*$AM$31</f>
        <v>475.24167499999999</v>
      </c>
      <c r="AN41" s="587">
        <f t="shared" ref="AN41:AN50" si="28">AL41-AM41</f>
        <v>1547.0633250000001</v>
      </c>
      <c r="AO41" s="587">
        <f t="shared" ref="AO41:AO50" si="29">AK41+AN41</f>
        <v>32715.063324999996</v>
      </c>
      <c r="AP41" s="17"/>
      <c r="AQ41" s="17"/>
      <c r="AU41" s="8"/>
    </row>
    <row r="42" spans="1:47" s="1" customFormat="1" ht="27.75" customHeight="1" x14ac:dyDescent="0.2">
      <c r="A42" s="35">
        <v>5028</v>
      </c>
      <c r="B42" s="182" t="s">
        <v>35</v>
      </c>
      <c r="C42" s="35">
        <v>0</v>
      </c>
      <c r="D42" s="37"/>
      <c r="E42" s="37"/>
      <c r="F42" s="37"/>
      <c r="G42" s="63">
        <v>1222</v>
      </c>
      <c r="H42" s="48">
        <f t="shared" si="15"/>
        <v>1222</v>
      </c>
      <c r="I42" s="48"/>
      <c r="J42" s="48"/>
      <c r="K42" s="89">
        <f>H42*'DATOS REFERENCIALES'!$C$4</f>
        <v>11726.0676</v>
      </c>
      <c r="L42" s="89"/>
      <c r="M42" s="89"/>
      <c r="N42" s="79">
        <f>LOOKUP(C42,'TABLA ANTIG.'!$A$4:$A$39,'TABLA ANTIG.'!$B$4:$B$39)*(K42)</f>
        <v>0</v>
      </c>
      <c r="O42" s="27">
        <f t="shared" si="16"/>
        <v>1172.6067600000001</v>
      </c>
      <c r="P42" s="89">
        <f>'DATOS REFERENCIALES'!$C$8</f>
        <v>6382</v>
      </c>
      <c r="Q42" s="79">
        <f>LOOKUP(C42,'TABLA ANTIG.'!$A$4:$A$39,'TABLA ANTIG.'!$B$4:$B$39)*(P42)</f>
        <v>0</v>
      </c>
      <c r="R42" s="98">
        <v>0</v>
      </c>
      <c r="S42" s="545">
        <f>IF(C42&gt;11,IF(H42&gt;1134,'DATOS REFERENCIALES'!$C$18,'DATOS REFERENCIALES'!$C$18/1135*H42),0)</f>
        <v>0</v>
      </c>
      <c r="T42" s="159">
        <f t="shared" si="24"/>
        <v>19280.674360000001</v>
      </c>
      <c r="U42" s="27">
        <f t="shared" si="17"/>
        <v>2120.8741795999999</v>
      </c>
      <c r="V42" s="27">
        <f t="shared" si="18"/>
        <v>578.42023080000001</v>
      </c>
      <c r="W42" s="27">
        <f t="shared" si="18"/>
        <v>578.42023080000001</v>
      </c>
      <c r="X42" s="27">
        <f t="shared" si="19"/>
        <v>385.61348720000001</v>
      </c>
      <c r="Y42" s="156">
        <f t="shared" si="20"/>
        <v>867.63034619999996</v>
      </c>
      <c r="Z42" s="27">
        <f t="shared" si="21"/>
        <v>4530.9584745999991</v>
      </c>
      <c r="AA42" s="130">
        <f t="shared" si="22"/>
        <v>14749.715885400001</v>
      </c>
      <c r="AB42" s="147">
        <f>'DATOS REFERENCIALES'!$C$10</f>
        <v>2270</v>
      </c>
      <c r="AC42" s="654">
        <f>IF(C42&lt;12,IF(H42&gt;1134,'DATOS REFERENCIALES'!$C$17,'DATOS REFERENCIALES'!$C$17/1135*H42),0)</f>
        <v>2584</v>
      </c>
      <c r="AD42" s="79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8934.2841145999992</v>
      </c>
      <c r="AE42" s="130">
        <f t="shared" si="23"/>
        <v>28538</v>
      </c>
      <c r="AF42" s="91">
        <f>'DATOS REFERENCIALES'!$C$13</f>
        <v>1210</v>
      </c>
      <c r="AG42" s="272"/>
      <c r="AH42" s="79" t="e">
        <f>IF($H42&gt;1119,'DATOS REFERENCIALES'!#REF!,'DATOS REFERENCIALES'!#REF!/1120*$H42)</f>
        <v>#REF!</v>
      </c>
      <c r="AI42" s="106">
        <f t="shared" si="26"/>
        <v>1210</v>
      </c>
      <c r="AJ42" s="79">
        <f>'DATOS REFERENCIALES'!$C$12</f>
        <v>210</v>
      </c>
      <c r="AK42" s="79">
        <f t="shared" si="25"/>
        <v>31168</v>
      </c>
      <c r="AL42" s="587">
        <f>'DATOS REFERENCIALES'!$C$16</f>
        <v>2022.3050000000001</v>
      </c>
      <c r="AM42" s="587">
        <f t="shared" si="27"/>
        <v>475.24167499999999</v>
      </c>
      <c r="AN42" s="587">
        <f t="shared" si="28"/>
        <v>1547.0633250000001</v>
      </c>
      <c r="AO42" s="587">
        <f t="shared" si="29"/>
        <v>32715.063324999999</v>
      </c>
      <c r="AP42" s="17"/>
      <c r="AQ42" s="17"/>
      <c r="AU42" s="8"/>
    </row>
    <row r="43" spans="1:47" s="1" customFormat="1" ht="21.75" customHeight="1" x14ac:dyDescent="0.2">
      <c r="A43" s="35">
        <v>5035</v>
      </c>
      <c r="B43" s="182" t="s">
        <v>36</v>
      </c>
      <c r="C43" s="35">
        <v>0</v>
      </c>
      <c r="D43" s="37"/>
      <c r="E43" s="37"/>
      <c r="F43" s="37"/>
      <c r="G43" s="63">
        <v>1032</v>
      </c>
      <c r="H43" s="48">
        <f t="shared" si="15"/>
        <v>1032</v>
      </c>
      <c r="I43" s="48"/>
      <c r="J43" s="48"/>
      <c r="K43" s="89">
        <f>H43*'DATOS REFERENCIALES'!$C$4</f>
        <v>9902.865600000001</v>
      </c>
      <c r="L43" s="89"/>
      <c r="M43" s="89"/>
      <c r="N43" s="79">
        <f>LOOKUP(C43,'TABLA ANTIG.'!$A$4:$A$39,'TABLA ANTIG.'!$B$4:$B$39)*(K43)</f>
        <v>0</v>
      </c>
      <c r="O43" s="27">
        <f t="shared" si="16"/>
        <v>990.28656000000012</v>
      </c>
      <c r="P43" s="89">
        <f>'DATOS REFERENCIALES'!$C$8</f>
        <v>6382</v>
      </c>
      <c r="Q43" s="79">
        <f>LOOKUP(C43,'TABLA ANTIG.'!$A$4:$A$39,'TABLA ANTIG.'!$B$4:$B$39)*(P43)</f>
        <v>0</v>
      </c>
      <c r="R43" s="147">
        <v>0</v>
      </c>
      <c r="S43" s="545">
        <f>IF(C43&gt;11,IF(H43&gt;1134,'DATOS REFERENCIALES'!$C$18,'DATOS REFERENCIALES'!$C$18/1135*H43),0)</f>
        <v>0</v>
      </c>
      <c r="T43" s="159">
        <f t="shared" si="24"/>
        <v>17275.152160000001</v>
      </c>
      <c r="U43" s="79">
        <f t="shared" si="17"/>
        <v>1900.2667376000002</v>
      </c>
      <c r="V43" s="79">
        <f t="shared" si="18"/>
        <v>518.25456480000003</v>
      </c>
      <c r="W43" s="79">
        <f t="shared" si="18"/>
        <v>518.25456480000003</v>
      </c>
      <c r="X43" s="79">
        <f t="shared" si="19"/>
        <v>345.50304320000004</v>
      </c>
      <c r="Y43" s="151">
        <f t="shared" si="20"/>
        <v>777.38184720000004</v>
      </c>
      <c r="Z43" s="27">
        <f t="shared" si="21"/>
        <v>4059.6607576000006</v>
      </c>
      <c r="AA43" s="130">
        <f t="shared" si="22"/>
        <v>13215.491402400001</v>
      </c>
      <c r="AB43" s="147">
        <f>'DATOS REFERENCIALES'!$C$10</f>
        <v>2270</v>
      </c>
      <c r="AC43" s="654">
        <f>IF(C43&lt;12,IF(H43&gt;1134,'DATOS REFERENCIALES'!$C$17,'DATOS REFERENCIALES'!$C$17/1135*H43),0)</f>
        <v>2349.5048458149777</v>
      </c>
      <c r="AD43" s="79">
        <f>IF((IF(H43&gt;1134,('DATOS REFERENCIALES'!$C$9-(T43-U43-V43-W43-X43-Y43+AB43+AC43-L43-L43*0.235)),(('DATOS REFERENCIALES'!$C$9/1135)*H43)-(K43+N43+O43+P43+Q43+S43-U43-V43-W43-X43-Y43+AB43+AC43-(L43-L43*0.235))))&lt;0,0,IF(H43&gt;1134,(('DATOS REFERENCIALES'!$C$9)-(T43-U43-V43-W43-X43-Y43+AB43+AC43-(L43-L43*0.235))),(('DATOS REFERENCIALES'!$C$9/1135)*H43)-(K43+N43+O43+P43+Q43+S43-U43-V43-W43-X43-Y43+AB43+AC43-(L43-L43*0.235))))</f>
        <v>8113.2116813004395</v>
      </c>
      <c r="AE43" s="130">
        <f>SUM(AA43:AD43)</f>
        <v>25948.207929515418</v>
      </c>
      <c r="AF43" s="91">
        <f>'DATOS REFERENCIALES'!$C$13</f>
        <v>1210</v>
      </c>
      <c r="AG43" s="272"/>
      <c r="AH43" s="79" t="e">
        <f>IF($H43&gt;1119,'DATOS REFERENCIALES'!#REF!,'DATOS REFERENCIALES'!#REF!/1120*$H43)</f>
        <v>#REF!</v>
      </c>
      <c r="AI43" s="106">
        <f t="shared" si="26"/>
        <v>1210</v>
      </c>
      <c r="AJ43" s="79">
        <f>'DATOS REFERENCIALES'!$C$12</f>
        <v>210</v>
      </c>
      <c r="AK43" s="79">
        <f t="shared" si="25"/>
        <v>28578.207929515418</v>
      </c>
      <c r="AL43" s="587">
        <f>'DATOS REFERENCIALES'!$C$16</f>
        <v>2022.3050000000001</v>
      </c>
      <c r="AM43" s="587">
        <f t="shared" si="27"/>
        <v>475.24167499999999</v>
      </c>
      <c r="AN43" s="587">
        <f t="shared" si="28"/>
        <v>1547.0633250000001</v>
      </c>
      <c r="AO43" s="587">
        <f t="shared" si="29"/>
        <v>30125.271254515417</v>
      </c>
      <c r="AP43" s="17"/>
      <c r="AQ43" s="17"/>
      <c r="AU43" s="8"/>
    </row>
    <row r="44" spans="1:47" s="1" customFormat="1" ht="21.75" customHeight="1" x14ac:dyDescent="0.2">
      <c r="A44" s="35">
        <v>5051</v>
      </c>
      <c r="B44" s="182" t="s">
        <v>37</v>
      </c>
      <c r="C44" s="35">
        <v>0</v>
      </c>
      <c r="D44" s="35"/>
      <c r="E44" s="35"/>
      <c r="F44" s="35"/>
      <c r="G44" s="62">
        <v>929</v>
      </c>
      <c r="H44" s="49">
        <f t="shared" si="15"/>
        <v>929</v>
      </c>
      <c r="I44" s="49"/>
      <c r="J44" s="49"/>
      <c r="K44" s="89">
        <f>H44*'DATOS REFERENCIALES'!$C$4</f>
        <v>8914.4982</v>
      </c>
      <c r="L44" s="89"/>
      <c r="M44" s="89"/>
      <c r="N44" s="79">
        <f>LOOKUP(C44,'TABLA ANTIG.'!$A$4:$A$39,'TABLA ANTIG.'!$B$4:$B$39)*(K44)</f>
        <v>0</v>
      </c>
      <c r="O44" s="27">
        <f t="shared" si="16"/>
        <v>891.44982000000005</v>
      </c>
      <c r="P44" s="89">
        <f>'DATOS REFERENCIALES'!$C$8</f>
        <v>6382</v>
      </c>
      <c r="Q44" s="79">
        <f>LOOKUP(C44,'TABLA ANTIG.'!$A$4:$A$39,'TABLA ANTIG.'!$B$4:$B$39)*(P44)</f>
        <v>0</v>
      </c>
      <c r="R44" s="98">
        <v>0</v>
      </c>
      <c r="S44" s="545">
        <f>IF(C44&gt;11,IF(H44&gt;1134,'DATOS REFERENCIALES'!$C$18,'DATOS REFERENCIALES'!$C$18/1135*H44),0)</f>
        <v>0</v>
      </c>
      <c r="T44" s="159">
        <f t="shared" si="24"/>
        <v>16187.94802</v>
      </c>
      <c r="U44" s="27">
        <f t="shared" si="17"/>
        <v>1780.6742821999999</v>
      </c>
      <c r="V44" s="27">
        <f t="shared" si="18"/>
        <v>485.63844059999997</v>
      </c>
      <c r="W44" s="27">
        <f t="shared" si="18"/>
        <v>485.63844059999997</v>
      </c>
      <c r="X44" s="27">
        <f t="shared" si="19"/>
        <v>323.75896039999998</v>
      </c>
      <c r="Y44" s="156">
        <f t="shared" si="20"/>
        <v>728.45766089999995</v>
      </c>
      <c r="Z44" s="27">
        <f t="shared" si="21"/>
        <v>3804.1677847000001</v>
      </c>
      <c r="AA44" s="130">
        <f t="shared" si="22"/>
        <v>12383.780235300001</v>
      </c>
      <c r="AB44" s="147">
        <f>'DATOS REFERENCIALES'!$C$10</f>
        <v>2270</v>
      </c>
      <c r="AC44" s="654">
        <f>IF(C44&lt;12,IF(H44&gt;1134,'DATOS REFERENCIALES'!$C$17,'DATOS REFERENCIALES'!$C$17/1135*H44),0)</f>
        <v>2115.0096916299558</v>
      </c>
      <c r="AD44" s="79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6589.6259321008802</v>
      </c>
      <c r="AE44" s="130">
        <f t="shared" si="23"/>
        <v>23358.415859030836</v>
      </c>
      <c r="AF44" s="91">
        <f>'DATOS REFERENCIALES'!$C$13</f>
        <v>1210</v>
      </c>
      <c r="AG44" s="272"/>
      <c r="AH44" s="79" t="e">
        <f>IF($H44&gt;1119,'DATOS REFERENCIALES'!#REF!,'DATOS REFERENCIALES'!#REF!/1120*$H44)</f>
        <v>#REF!</v>
      </c>
      <c r="AI44" s="106">
        <f t="shared" si="26"/>
        <v>1210</v>
      </c>
      <c r="AJ44" s="79">
        <f>'DATOS REFERENCIALES'!$C$12</f>
        <v>210</v>
      </c>
      <c r="AK44" s="79">
        <f t="shared" si="25"/>
        <v>25988.415859030836</v>
      </c>
      <c r="AL44" s="587">
        <f>'DATOS REFERENCIALES'!$C$16</f>
        <v>2022.3050000000001</v>
      </c>
      <c r="AM44" s="587">
        <f t="shared" si="27"/>
        <v>475.24167499999999</v>
      </c>
      <c r="AN44" s="587">
        <f t="shared" si="28"/>
        <v>1547.0633250000001</v>
      </c>
      <c r="AO44" s="587">
        <f t="shared" si="29"/>
        <v>27535.479184030835</v>
      </c>
      <c r="AP44" s="17"/>
      <c r="AQ44" s="17"/>
      <c r="AU44" s="8"/>
    </row>
    <row r="45" spans="1:47" s="1" customFormat="1" ht="21.75" customHeight="1" x14ac:dyDescent="0.2">
      <c r="A45" s="74">
        <v>1557</v>
      </c>
      <c r="B45" s="109" t="s">
        <v>75</v>
      </c>
      <c r="C45" s="35">
        <v>0</v>
      </c>
      <c r="D45" s="35"/>
      <c r="E45" s="35"/>
      <c r="F45" s="35"/>
      <c r="G45" s="62">
        <v>823</v>
      </c>
      <c r="H45" s="49">
        <f t="shared" si="15"/>
        <v>823</v>
      </c>
      <c r="I45" s="49"/>
      <c r="J45" s="49"/>
      <c r="K45" s="89">
        <f>H45*'DATOS REFERENCIALES'!$C$4</f>
        <v>7897.3434000000007</v>
      </c>
      <c r="L45" s="89"/>
      <c r="M45" s="89"/>
      <c r="N45" s="79">
        <f>LOOKUP(C45,'TABLA ANTIG.'!$A$4:$A$39,'TABLA ANTIG.'!$B$4:$B$39)*(K45)</f>
        <v>0</v>
      </c>
      <c r="O45" s="27">
        <f t="shared" si="16"/>
        <v>789.73434000000009</v>
      </c>
      <c r="P45" s="89">
        <f>'DATOS REFERENCIALES'!$C$8</f>
        <v>6382</v>
      </c>
      <c r="Q45" s="79">
        <f>LOOKUP(C45,'TABLA ANTIG.'!$A$4:$A$39,'TABLA ANTIG.'!$B$4:$B$39)*(P45)</f>
        <v>0</v>
      </c>
      <c r="R45" s="98">
        <v>0</v>
      </c>
      <c r="S45" s="545">
        <f>IF(C45&gt;11,IF(H45&gt;1134,'DATOS REFERENCIALES'!$C$18,'DATOS REFERENCIALES'!$C$18/1135*H45),0)</f>
        <v>0</v>
      </c>
      <c r="T45" s="159">
        <f t="shared" si="24"/>
        <v>15069.077740000001</v>
      </c>
      <c r="U45" s="27">
        <f t="shared" si="17"/>
        <v>1657.5985514000001</v>
      </c>
      <c r="V45" s="27">
        <f t="shared" si="18"/>
        <v>452.07233220000001</v>
      </c>
      <c r="W45" s="27">
        <f t="shared" si="18"/>
        <v>452.07233220000001</v>
      </c>
      <c r="X45" s="27">
        <f t="shared" si="19"/>
        <v>301.3815548</v>
      </c>
      <c r="Y45" s="156">
        <f t="shared" si="20"/>
        <v>678.10849829999995</v>
      </c>
      <c r="Z45" s="27">
        <f t="shared" si="21"/>
        <v>3541.2332689000004</v>
      </c>
      <c r="AA45" s="130">
        <f t="shared" si="22"/>
        <v>11527.844471100001</v>
      </c>
      <c r="AB45" s="147">
        <f>'DATOS REFERENCIALES'!$C$10</f>
        <v>2270</v>
      </c>
      <c r="AC45" s="654">
        <f>IF(C45&lt;12,IF(H45&gt;1134,'DATOS REFERENCIALES'!$C$17,'DATOS REFERENCIALES'!$C$17/1135*H45),0)</f>
        <v>1873.6845814977971</v>
      </c>
      <c r="AD45" s="79">
        <f>IF((IF(H45&gt;1134,('DATOS REFERENCIALES'!$C$9-(T45-U45-V45-W45-X45-Y45+AB45+AC45-L45-L45*0.235)),(('DATOS REFERENCIALES'!$C$9/1135)*H45)-(K45+N45+O45+P45+Q45+S45-U45-V45-W45-X45-Y45+AB45+AC45-(L45-L45*0.235))))&lt;0,0,IF(H45&gt;1134,(('DATOS REFERENCIALES'!$C$9)-(T45-U45-V45-W45-X45-Y45+AB45+AC45-(L45-L45*0.235))),(('DATOS REFERENCIALES'!$C$9/1135)*H45)-(K45+N45+O45+P45+Q45+S45-U45-V45-W45-X45-Y45+AB45+AC45-(L45-L45*0.235))))</f>
        <v>5021.6638989440507</v>
      </c>
      <c r="AE45" s="130">
        <f t="shared" si="23"/>
        <v>20693.192951541849</v>
      </c>
      <c r="AF45" s="91">
        <f>'DATOS REFERENCIALES'!$C$13</f>
        <v>1210</v>
      </c>
      <c r="AG45" s="272"/>
      <c r="AH45" s="79" t="e">
        <f>IF($H45&gt;1119,'DATOS REFERENCIALES'!#REF!,'DATOS REFERENCIALES'!#REF!/1120*$H45)</f>
        <v>#REF!</v>
      </c>
      <c r="AI45" s="106">
        <f t="shared" si="26"/>
        <v>1210</v>
      </c>
      <c r="AJ45" s="79">
        <f>'DATOS REFERENCIALES'!$C$12</f>
        <v>210</v>
      </c>
      <c r="AK45" s="79">
        <f t="shared" si="25"/>
        <v>23323.192951541849</v>
      </c>
      <c r="AL45" s="587">
        <f>'DATOS REFERENCIALES'!$C$16</f>
        <v>2022.3050000000001</v>
      </c>
      <c r="AM45" s="587">
        <f t="shared" si="27"/>
        <v>475.24167499999999</v>
      </c>
      <c r="AN45" s="587">
        <f t="shared" si="28"/>
        <v>1547.0633250000001</v>
      </c>
      <c r="AO45" s="587">
        <f t="shared" si="29"/>
        <v>24870.256276541848</v>
      </c>
      <c r="AP45" s="17"/>
      <c r="AQ45" s="17"/>
      <c r="AU45" s="8"/>
    </row>
    <row r="46" spans="1:47" s="1" customFormat="1" ht="21.75" customHeight="1" x14ac:dyDescent="0.2">
      <c r="A46" s="74">
        <v>1568</v>
      </c>
      <c r="B46" s="109" t="s">
        <v>76</v>
      </c>
      <c r="C46" s="35">
        <v>0</v>
      </c>
      <c r="D46" s="35"/>
      <c r="E46" s="35"/>
      <c r="F46" s="35"/>
      <c r="G46" s="62">
        <v>1008</v>
      </c>
      <c r="H46" s="49">
        <f t="shared" si="15"/>
        <v>1008</v>
      </c>
      <c r="I46" s="49"/>
      <c r="J46" s="49"/>
      <c r="K46" s="89">
        <f>H46*'DATOS REFERENCIALES'!$C$4</f>
        <v>9672.5663999999997</v>
      </c>
      <c r="L46" s="89"/>
      <c r="M46" s="89"/>
      <c r="N46" s="79">
        <f>LOOKUP(C46,'TABLA ANTIG.'!$A$4:$A$39,'TABLA ANTIG.'!$B$4:$B$39)*(K46)</f>
        <v>0</v>
      </c>
      <c r="O46" s="27">
        <f t="shared" si="16"/>
        <v>967.25664000000006</v>
      </c>
      <c r="P46" s="89">
        <f>'DATOS REFERENCIALES'!$C$8</f>
        <v>6382</v>
      </c>
      <c r="Q46" s="79">
        <f>LOOKUP(C46,'TABLA ANTIG.'!$A$4:$A$39,'TABLA ANTIG.'!$B$4:$B$39)*(P46)</f>
        <v>0</v>
      </c>
      <c r="R46" s="147">
        <v>0</v>
      </c>
      <c r="S46" s="545">
        <f>IF(C46&gt;11,IF(H46&gt;1134,'DATOS REFERENCIALES'!$C$18,'DATOS REFERENCIALES'!$C$18/1135*H46),0)</f>
        <v>0</v>
      </c>
      <c r="T46" s="159">
        <f t="shared" si="24"/>
        <v>17021.823039999999</v>
      </c>
      <c r="U46" s="79">
        <f t="shared" si="17"/>
        <v>1872.4005344</v>
      </c>
      <c r="V46" s="79">
        <f t="shared" si="18"/>
        <v>510.65469119999995</v>
      </c>
      <c r="W46" s="79">
        <f t="shared" si="18"/>
        <v>510.65469119999995</v>
      </c>
      <c r="X46" s="79">
        <f t="shared" si="19"/>
        <v>340.43646080000002</v>
      </c>
      <c r="Y46" s="151">
        <f t="shared" si="20"/>
        <v>765.98203679999995</v>
      </c>
      <c r="Z46" s="27">
        <f t="shared" si="21"/>
        <v>4000.1284144000001</v>
      </c>
      <c r="AA46" s="130">
        <f t="shared" si="22"/>
        <v>13021.694625599999</v>
      </c>
      <c r="AB46" s="147">
        <f>'DATOS REFERENCIALES'!$C$10</f>
        <v>2270</v>
      </c>
      <c r="AC46" s="654">
        <f>IF(C46&lt;12,IF(H46&gt;1134,'DATOS REFERENCIALES'!$C$17,'DATOS REFERENCIALES'!$C$17/1135*H46),0)</f>
        <v>2294.8651982378851</v>
      </c>
      <c r="AD46" s="79">
        <f>IF((IF(H46&gt;1134,('DATOS REFERENCIALES'!$C$9-(T46-U46-V46-W46-X46-Y46+AB46+AC46-L46-L46*0.235)),(('DATOS REFERENCIALES'!$C$9/1135)*H46)-(K46+N46+O46+P46+Q46+S46-U46-V46-W46-X46-Y46+AB46+AC46-(L46-L46*0.235))))&lt;0,0,IF(H46&gt;1134,(('DATOS REFERENCIALES'!$C$9)-(T46-U46-V46-W46-X46-Y46+AB46+AC46-(L46-L46*0.235))),(('DATOS REFERENCIALES'!$C$9/1135)*H46)-(K46+N46+O46+P46+Q46+S46-U46-V46-W46-X46-Y46+AB46+AC46-(L46-L46*0.235))))</f>
        <v>7758.2014096422899</v>
      </c>
      <c r="AE46" s="130">
        <f t="shared" si="23"/>
        <v>25344.761233480174</v>
      </c>
      <c r="AF46" s="91">
        <f>'DATOS REFERENCIALES'!$C$13</f>
        <v>1210</v>
      </c>
      <c r="AG46" s="272"/>
      <c r="AH46" s="79" t="e">
        <f>IF($H46&gt;1119,'DATOS REFERENCIALES'!#REF!,'DATOS REFERENCIALES'!#REF!/1120*$H46)</f>
        <v>#REF!</v>
      </c>
      <c r="AI46" s="106">
        <f t="shared" si="26"/>
        <v>1210</v>
      </c>
      <c r="AJ46" s="79">
        <f>'DATOS REFERENCIALES'!$C$12</f>
        <v>210</v>
      </c>
      <c r="AK46" s="79">
        <f t="shared" si="25"/>
        <v>27974.761233480174</v>
      </c>
      <c r="AL46" s="587">
        <f>'DATOS REFERENCIALES'!$C$16</f>
        <v>2022.3050000000001</v>
      </c>
      <c r="AM46" s="587">
        <f t="shared" si="27"/>
        <v>475.24167499999999</v>
      </c>
      <c r="AN46" s="587">
        <f t="shared" si="28"/>
        <v>1547.0633250000001</v>
      </c>
      <c r="AO46" s="587">
        <f t="shared" si="29"/>
        <v>29521.824558480173</v>
      </c>
      <c r="AP46" s="17"/>
      <c r="AQ46" s="17"/>
      <c r="AU46" s="8"/>
    </row>
    <row r="47" spans="1:47" s="1" customFormat="1" ht="21.75" customHeight="1" x14ac:dyDescent="0.2">
      <c r="A47" s="74">
        <v>1599</v>
      </c>
      <c r="B47" s="100" t="s">
        <v>96</v>
      </c>
      <c r="C47" s="35">
        <v>0</v>
      </c>
      <c r="D47" s="37">
        <v>1</v>
      </c>
      <c r="E47" s="35"/>
      <c r="F47" s="35"/>
      <c r="G47" s="52">
        <v>56</v>
      </c>
      <c r="H47" s="35">
        <f t="shared" si="15"/>
        <v>56</v>
      </c>
      <c r="I47" s="35"/>
      <c r="J47" s="35"/>
      <c r="K47" s="89">
        <f>(H47*'DATOS REFERENCIALES'!$C$4)*D47</f>
        <v>537.36480000000006</v>
      </c>
      <c r="L47" s="89"/>
      <c r="M47" s="89"/>
      <c r="N47" s="79">
        <f>LOOKUP(C47,'TABLA ANTIG.'!$A$4:$A$39,'TABLA ANTIG.'!$B$4:$B$39)*(K47)</f>
        <v>0</v>
      </c>
      <c r="O47" s="27">
        <f t="shared" si="16"/>
        <v>53.736480000000007</v>
      </c>
      <c r="P47" s="89">
        <f>IF(D47&gt;48,'DATOS REFERENCIALES'!$D$8+('DATOS REFERENCIALES'!$F$8*10),IF(D47&lt;39,'DATOS REFERENCIALES'!$E$8*D47,((D47-'DATOS REFERENCIALES'!$I$8)*'DATOS REFERENCIALES'!$F$8)+'DATOS REFERENCIALES'!$D$8))</f>
        <v>335.89473684210526</v>
      </c>
      <c r="Q47" s="79">
        <f>LOOKUP(C47,'TABLA ANTIG.'!$A$4:$A$39,'TABLA ANTIG.'!$B$4:$B$39)*(P47)</f>
        <v>0</v>
      </c>
      <c r="R47" s="147">
        <v>0</v>
      </c>
      <c r="S47" s="545">
        <f>IF(C47&gt;11,IF(H47&gt;1134,'DATOS REFERENCIALES'!$C$18,'DATOS REFERENCIALES'!$C$18/20*D47),0)</f>
        <v>0</v>
      </c>
      <c r="T47" s="159">
        <f t="shared" si="24"/>
        <v>926.99601684210529</v>
      </c>
      <c r="U47" s="79">
        <f t="shared" si="17"/>
        <v>101.96956185263159</v>
      </c>
      <c r="V47" s="79">
        <f t="shared" si="18"/>
        <v>27.809880505263159</v>
      </c>
      <c r="W47" s="79">
        <f t="shared" si="18"/>
        <v>27.809880505263159</v>
      </c>
      <c r="X47" s="79">
        <f t="shared" si="19"/>
        <v>18.539920336842105</v>
      </c>
      <c r="Y47" s="151">
        <f t="shared" si="20"/>
        <v>41.714820757894735</v>
      </c>
      <c r="Z47" s="27">
        <f t="shared" si="21"/>
        <v>217.84406395789472</v>
      </c>
      <c r="AA47" s="130">
        <f t="shared" si="22"/>
        <v>709.15195288421057</v>
      </c>
      <c r="AB47" s="147">
        <f>IF(D47&gt;38,'DATOS REFERENCIALES'!$D$10,'DATOS REFERENCIALES'!$E$10*D47)</f>
        <v>119.47368421052632</v>
      </c>
      <c r="AC47" s="654">
        <f>IF(C47&lt;12,IF(H47&gt;1134,'DATOS REFERENCIALES'!$C$17,'DATOS REFERENCIALES'!$C$17/20*D47),0)</f>
        <v>129.19999999999999</v>
      </c>
      <c r="AD47" s="79">
        <f>IF(D47&gt;41,IF((('DATOS REFERENCIALES'!$D$9)-((T47)+(AB47)+(AC47)))&lt;0,0,((('DATOS REFERENCIALES'!$D$9)-((T47)-(Z47)+(AB47)+(AC47))))),IF((('DATOS REFERENCIALES'!$E$9*D47)-(((T47)+(AB47)+(AC47))))&lt;0,0,('DATOS REFERENCIALES'!$E$9*D47)-((T47)-(Z47)+(AB47)+(AC47))))</f>
        <v>469.07436290526311</v>
      </c>
      <c r="AE47" s="130">
        <f t="shared" si="23"/>
        <v>1426.9</v>
      </c>
      <c r="AF47" s="91">
        <f>IF(D47&gt;30,'DATOS REFERENCIALES'!$D$13,('DATOS REFERENCIALES'!$E$13*D47))</f>
        <v>80.666666666666671</v>
      </c>
      <c r="AG47" s="272"/>
      <c r="AH47" s="79" t="e">
        <f>IF(D47&gt;'DATOS REFERENCIALES'!#REF!,'DATOS REFERENCIALES'!#REF!,('DATOS REFERENCIALES'!#REF!*D47))</f>
        <v>#REF!</v>
      </c>
      <c r="AI47" s="106">
        <f t="shared" si="26"/>
        <v>80.666666666666671</v>
      </c>
      <c r="AJ47" s="79">
        <f>IF(D47&gt;'DATOS REFERENCIALES'!$I$12,'DATOS REFERENCIALES'!$D$12,'DATOS REFERENCIALES'!$E$12*D47)</f>
        <v>14</v>
      </c>
      <c r="AK47" s="79">
        <f t="shared" si="25"/>
        <v>1602.2333333333336</v>
      </c>
      <c r="AL47" s="587">
        <f>IF(D47&gt;'DATOS REFERENCIALES'!$I$16,'DATOS REFERENCIALES'!$D$16,'DATOS REFERENCIALES'!$E$16*D47)</f>
        <v>134.82033333333334</v>
      </c>
      <c r="AM47" s="587">
        <f t="shared" si="27"/>
        <v>31.682778333333331</v>
      </c>
      <c r="AN47" s="587">
        <f t="shared" si="28"/>
        <v>103.13755500000001</v>
      </c>
      <c r="AO47" s="587">
        <f t="shared" si="29"/>
        <v>1705.3708883333336</v>
      </c>
      <c r="AP47" s="17"/>
      <c r="AQ47" s="17"/>
      <c r="AU47" s="8"/>
    </row>
    <row r="48" spans="1:47" s="1" customFormat="1" ht="21.75" customHeight="1" x14ac:dyDescent="0.2">
      <c r="A48" s="74">
        <v>1599</v>
      </c>
      <c r="B48" s="100" t="s">
        <v>97</v>
      </c>
      <c r="C48" s="35">
        <v>0</v>
      </c>
      <c r="D48" s="37">
        <v>1</v>
      </c>
      <c r="E48" s="35"/>
      <c r="F48" s="35"/>
      <c r="G48" s="52">
        <v>56</v>
      </c>
      <c r="H48" s="35">
        <f t="shared" si="15"/>
        <v>56</v>
      </c>
      <c r="I48" s="35"/>
      <c r="J48" s="35"/>
      <c r="K48" s="89">
        <f>(H48*'DATOS REFERENCIALES'!$C$4)*D48</f>
        <v>537.36480000000006</v>
      </c>
      <c r="L48" s="89"/>
      <c r="M48" s="89"/>
      <c r="N48" s="79">
        <f>LOOKUP(C48,'TABLA ANTIG.'!$A$4:$A$39,'TABLA ANTIG.'!$B$4:$B$39)*(K48)</f>
        <v>0</v>
      </c>
      <c r="O48" s="27">
        <f t="shared" si="16"/>
        <v>53.736480000000007</v>
      </c>
      <c r="P48" s="89">
        <f>IF(D48&gt;48,'DATOS REFERENCIALES'!$D$8+('DATOS REFERENCIALES'!$F$8*10),IF(D48&lt;39,'DATOS REFERENCIALES'!$E$8*D48,((D48-'DATOS REFERENCIALES'!$I$8)*'DATOS REFERENCIALES'!$F$8)+'DATOS REFERENCIALES'!$D$8))</f>
        <v>335.89473684210526</v>
      </c>
      <c r="Q48" s="79">
        <f>LOOKUP(C48,'TABLA ANTIG.'!$A$4:$A$39,'TABLA ANTIG.'!$B$4:$B$39)*(P48)</f>
        <v>0</v>
      </c>
      <c r="R48" s="147">
        <v>0</v>
      </c>
      <c r="S48" s="545">
        <f>IF(C48&gt;11,IF(H48&gt;1134,'DATOS REFERENCIALES'!$C$18,'DATOS REFERENCIALES'!$C$18/20*D48),0)</f>
        <v>0</v>
      </c>
      <c r="T48" s="159">
        <f t="shared" si="24"/>
        <v>926.99601684210529</v>
      </c>
      <c r="U48" s="79">
        <f t="shared" si="17"/>
        <v>101.96956185263159</v>
      </c>
      <c r="V48" s="79">
        <f t="shared" si="18"/>
        <v>27.809880505263159</v>
      </c>
      <c r="W48" s="79">
        <f t="shared" si="18"/>
        <v>27.809880505263159</v>
      </c>
      <c r="X48" s="79">
        <f t="shared" si="19"/>
        <v>18.539920336842105</v>
      </c>
      <c r="Y48" s="151">
        <f t="shared" si="20"/>
        <v>41.714820757894735</v>
      </c>
      <c r="Z48" s="27">
        <f t="shared" si="21"/>
        <v>217.84406395789472</v>
      </c>
      <c r="AA48" s="130">
        <f t="shared" si="22"/>
        <v>709.15195288421057</v>
      </c>
      <c r="AB48" s="147">
        <f>IF(D48&gt;38,'DATOS REFERENCIALES'!$D$10,'DATOS REFERENCIALES'!$E$10*D48)</f>
        <v>119.47368421052632</v>
      </c>
      <c r="AC48" s="654">
        <f>IF(C48&lt;12,IF(H48&gt;1134,'DATOS REFERENCIALES'!$C$17,'DATOS REFERENCIALES'!$C$17/20*D48),0)</f>
        <v>129.19999999999999</v>
      </c>
      <c r="AD48" s="79">
        <f>IF(D48&gt;41,IF((('DATOS REFERENCIALES'!$D$9)-((T48)+(AB48)+(AC48)))&lt;0,0,((('DATOS REFERENCIALES'!$D$9)-((T48)-(Z48)+(AB48)+(AC48))))),IF((('DATOS REFERENCIALES'!$E$9*D48)-(((T48)+(AB48)+(AC48))))&lt;0,0,('DATOS REFERENCIALES'!$E$9*D48)-((T48)-(Z48)+(AB48)+(AC48))))</f>
        <v>469.07436290526311</v>
      </c>
      <c r="AE48" s="130">
        <f t="shared" si="23"/>
        <v>1426.9</v>
      </c>
      <c r="AF48" s="91">
        <f>IF(D48&gt;30,'DATOS REFERENCIALES'!$D$13,('DATOS REFERENCIALES'!$E$13*D48))</f>
        <v>80.666666666666671</v>
      </c>
      <c r="AG48" s="272"/>
      <c r="AH48" s="79" t="e">
        <f>IF(D48&gt;'DATOS REFERENCIALES'!#REF!,'DATOS REFERENCIALES'!#REF!,('DATOS REFERENCIALES'!#REF!*D48))</f>
        <v>#REF!</v>
      </c>
      <c r="AI48" s="106">
        <f t="shared" si="26"/>
        <v>80.666666666666671</v>
      </c>
      <c r="AJ48" s="79">
        <f>IF(D48&gt;'DATOS REFERENCIALES'!$I$12,'DATOS REFERENCIALES'!$D$12,'DATOS REFERENCIALES'!$E$12*D48)</f>
        <v>14</v>
      </c>
      <c r="AK48" s="79">
        <f t="shared" ref="AK48:AK50" si="30">+AE48+AF48+AI48+AJ48</f>
        <v>1602.2333333333336</v>
      </c>
      <c r="AL48" s="587">
        <f>IF(D48&gt;'DATOS REFERENCIALES'!$I$16,'DATOS REFERENCIALES'!$D$16,'DATOS REFERENCIALES'!$E$16*D48)</f>
        <v>134.82033333333334</v>
      </c>
      <c r="AM48" s="587">
        <f t="shared" si="27"/>
        <v>31.682778333333331</v>
      </c>
      <c r="AN48" s="587">
        <f t="shared" si="28"/>
        <v>103.13755500000001</v>
      </c>
      <c r="AO48" s="587">
        <f t="shared" si="29"/>
        <v>1705.3708883333336</v>
      </c>
      <c r="AP48" s="17"/>
      <c r="AQ48" s="17"/>
      <c r="AU48" s="8"/>
    </row>
    <row r="49" spans="1:47" s="1" customFormat="1" ht="21.75" customHeight="1" x14ac:dyDescent="0.2">
      <c r="A49" s="74">
        <v>1599</v>
      </c>
      <c r="B49" s="100" t="s">
        <v>98</v>
      </c>
      <c r="C49" s="35">
        <v>0</v>
      </c>
      <c r="D49" s="37">
        <v>1</v>
      </c>
      <c r="E49" s="35"/>
      <c r="F49" s="35"/>
      <c r="G49" s="52">
        <v>56</v>
      </c>
      <c r="H49" s="35">
        <f t="shared" si="15"/>
        <v>56</v>
      </c>
      <c r="I49" s="35"/>
      <c r="J49" s="35"/>
      <c r="K49" s="224">
        <f>(H49*'DATOS REFERENCIALES'!$C$4)*D49</f>
        <v>537.36480000000006</v>
      </c>
      <c r="L49" s="224"/>
      <c r="M49" s="224"/>
      <c r="N49" s="154">
        <f>LOOKUP(C49,'TABLA ANTIG.'!$A$4:$A$39,'TABLA ANTIG.'!$B$4:$B$39)*(K49)</f>
        <v>0</v>
      </c>
      <c r="O49" s="152">
        <f t="shared" si="16"/>
        <v>53.736480000000007</v>
      </c>
      <c r="P49" s="89">
        <f>IF(D49&gt;48,'DATOS REFERENCIALES'!$D$8+('DATOS REFERENCIALES'!$F$8*10),IF(D49&lt;39,'DATOS REFERENCIALES'!$E$8*D49,((D49-'DATOS REFERENCIALES'!$I$8)*'DATOS REFERENCIALES'!$F$8)+'DATOS REFERENCIALES'!$D$8))</f>
        <v>335.89473684210526</v>
      </c>
      <c r="Q49" s="154">
        <f>LOOKUP(C49,'TABLA ANTIG.'!$A$4:$A$39,'TABLA ANTIG.'!$B$4:$B$39)*(P49)</f>
        <v>0</v>
      </c>
      <c r="R49" s="542">
        <v>0</v>
      </c>
      <c r="S49" s="545">
        <f>IF(C49&gt;11,IF(H49&gt;1134,'DATOS REFERENCIALES'!$C$18,'DATOS REFERENCIALES'!$C$18/20*D49),0)</f>
        <v>0</v>
      </c>
      <c r="T49" s="159">
        <f t="shared" si="24"/>
        <v>926.99601684210529</v>
      </c>
      <c r="U49" s="154">
        <f t="shared" si="17"/>
        <v>101.96956185263159</v>
      </c>
      <c r="V49" s="154">
        <f t="shared" si="18"/>
        <v>27.809880505263159</v>
      </c>
      <c r="W49" s="154">
        <f t="shared" si="18"/>
        <v>27.809880505263159</v>
      </c>
      <c r="X49" s="154">
        <f t="shared" si="19"/>
        <v>18.539920336842105</v>
      </c>
      <c r="Y49" s="157">
        <f t="shared" si="20"/>
        <v>41.714820757894735</v>
      </c>
      <c r="Z49" s="152">
        <f t="shared" si="21"/>
        <v>217.84406395789472</v>
      </c>
      <c r="AA49" s="153">
        <f t="shared" si="22"/>
        <v>709.15195288421057</v>
      </c>
      <c r="AB49" s="542">
        <f>IF(D49&gt;38,'DATOS REFERENCIALES'!$D$10,'DATOS REFERENCIALES'!$E$10*D49)</f>
        <v>119.47368421052632</v>
      </c>
      <c r="AC49" s="654">
        <f>IF(C49&lt;12,IF(H49&gt;1134,'DATOS REFERENCIALES'!$C$17,'DATOS REFERENCIALES'!$C$17/20*D49),0)</f>
        <v>129.19999999999999</v>
      </c>
      <c r="AD49" s="79">
        <f>IF(D49&gt;41,IF((('DATOS REFERENCIALES'!$D$9)-((T49)+(AB49)+(AC49)))&lt;0,0,((('DATOS REFERENCIALES'!$D$9)-((T49)-(Z49)+(AB49)+(AC49))))),IF((('DATOS REFERENCIALES'!$E$9*D49)-(((T49)+(AB49)+(AC49))))&lt;0,0,('DATOS REFERENCIALES'!$E$9*D49)-((T49)-(Z49)+(AB49)+(AC49))))</f>
        <v>469.07436290526311</v>
      </c>
      <c r="AE49" s="153">
        <f t="shared" si="23"/>
        <v>1426.9</v>
      </c>
      <c r="AF49" s="91">
        <f>IF(D49&gt;30,'DATOS REFERENCIALES'!$D$13,('DATOS REFERENCIALES'!$E$13*D49))</f>
        <v>80.666666666666671</v>
      </c>
      <c r="AG49" s="272"/>
      <c r="AH49" s="79" t="e">
        <f>IF(D49&gt;'DATOS REFERENCIALES'!#REF!,'DATOS REFERENCIALES'!#REF!,('DATOS REFERENCIALES'!#REF!*D49))</f>
        <v>#REF!</v>
      </c>
      <c r="AI49" s="106">
        <f t="shared" si="26"/>
        <v>80.666666666666671</v>
      </c>
      <c r="AJ49" s="79">
        <f>IF(D49&gt;'DATOS REFERENCIALES'!$I$12,'DATOS REFERENCIALES'!$D$12,'DATOS REFERENCIALES'!$E$12*D49)</f>
        <v>14</v>
      </c>
      <c r="AK49" s="79">
        <f t="shared" si="30"/>
        <v>1602.2333333333336</v>
      </c>
      <c r="AL49" s="587">
        <f>IF(D49&gt;'DATOS REFERENCIALES'!$I$16,'DATOS REFERENCIALES'!$D$16,'DATOS REFERENCIALES'!$E$16*D49)</f>
        <v>134.82033333333334</v>
      </c>
      <c r="AM49" s="587">
        <f t="shared" si="27"/>
        <v>31.682778333333331</v>
      </c>
      <c r="AN49" s="587">
        <f t="shared" si="28"/>
        <v>103.13755500000001</v>
      </c>
      <c r="AO49" s="587">
        <f t="shared" si="29"/>
        <v>1705.3708883333336</v>
      </c>
      <c r="AP49" s="17"/>
      <c r="AQ49" s="17"/>
      <c r="AU49" s="8"/>
    </row>
    <row r="50" spans="1:47" s="1" customFormat="1" ht="21.75" customHeight="1" thickBot="1" x14ac:dyDescent="0.25">
      <c r="A50" s="114">
        <v>1599</v>
      </c>
      <c r="B50" s="246" t="s">
        <v>99</v>
      </c>
      <c r="C50" s="51">
        <v>0</v>
      </c>
      <c r="D50" s="57">
        <v>1</v>
      </c>
      <c r="E50" s="51"/>
      <c r="F50" s="51"/>
      <c r="G50" s="58">
        <v>56</v>
      </c>
      <c r="H50" s="51">
        <f t="shared" si="15"/>
        <v>56</v>
      </c>
      <c r="I50" s="57"/>
      <c r="J50" s="57"/>
      <c r="K50" s="90">
        <f>(H50*'DATOS REFERENCIALES'!$C$4)*D50</f>
        <v>537.36480000000006</v>
      </c>
      <c r="L50" s="90"/>
      <c r="M50" s="90"/>
      <c r="N50" s="80">
        <f>LOOKUP(C50,'TABLA ANTIG.'!$A$4:$A$39,'TABLA ANTIG.'!$B$4:$B$39)*(K50)</f>
        <v>0</v>
      </c>
      <c r="O50" s="28">
        <f t="shared" si="16"/>
        <v>53.736480000000007</v>
      </c>
      <c r="P50" s="90">
        <f>IF(D50&gt;48,'DATOS REFERENCIALES'!$D$8+('DATOS REFERENCIALES'!$F$8*10),IF(D50&lt;39,'DATOS REFERENCIALES'!$E$8*D50,((D50-'DATOS REFERENCIALES'!$I$8)*'DATOS REFERENCIALES'!$F$8)+'DATOS REFERENCIALES'!$D$8))</f>
        <v>335.89473684210526</v>
      </c>
      <c r="Q50" s="80">
        <f>LOOKUP(C50,'TABLA ANTIG.'!$A$4:$A$39,'TABLA ANTIG.'!$B$4:$B$39)*(P50)</f>
        <v>0</v>
      </c>
      <c r="R50" s="150">
        <v>0</v>
      </c>
      <c r="S50" s="551">
        <f>IF(C50&gt;11,IF(H50&gt;1134,'DATOS REFERENCIALES'!$C$18,'DATOS REFERENCIALES'!$C$18/20*D50),0)</f>
        <v>0</v>
      </c>
      <c r="T50" s="206">
        <f t="shared" si="24"/>
        <v>926.99601684210529</v>
      </c>
      <c r="U50" s="80">
        <f t="shared" si="17"/>
        <v>101.96956185263159</v>
      </c>
      <c r="V50" s="80">
        <f t="shared" si="18"/>
        <v>27.809880505263159</v>
      </c>
      <c r="W50" s="80">
        <f t="shared" si="18"/>
        <v>27.809880505263159</v>
      </c>
      <c r="X50" s="80">
        <f t="shared" si="19"/>
        <v>18.539920336842105</v>
      </c>
      <c r="Y50" s="158">
        <f t="shared" si="20"/>
        <v>41.714820757894735</v>
      </c>
      <c r="Z50" s="28">
        <f t="shared" si="21"/>
        <v>217.84406395789472</v>
      </c>
      <c r="AA50" s="80">
        <f t="shared" si="22"/>
        <v>709.15195288421057</v>
      </c>
      <c r="AB50" s="150">
        <f>IF(D50&gt;38,'DATOS REFERENCIALES'!$D$10,'DATOS REFERENCIALES'!$E$10*D50)</f>
        <v>119.47368421052632</v>
      </c>
      <c r="AC50" s="655">
        <f>IF(C50&lt;12,IF(H50&gt;1134,'DATOS REFERENCIALES'!$C$17,'DATOS REFERENCIALES'!$C$17/20*D50),0)</f>
        <v>129.19999999999999</v>
      </c>
      <c r="AD50" s="80">
        <f>IF(D50&gt;41,IF((('DATOS REFERENCIALES'!$D$9)-((T50)+(AB50)+(AC50)))&lt;0,0,((('DATOS REFERENCIALES'!$D$9)-((T50)-(Z50)+(AB50)+(AC50))))),IF((('DATOS REFERENCIALES'!$E$9*D50)-(((T50)+(AB50)+(AC50))))&lt;0,0,('DATOS REFERENCIALES'!$E$9*D50)-((T50)-(Z50)+(AB50)+(AC50))))</f>
        <v>469.07436290526311</v>
      </c>
      <c r="AE50" s="131">
        <f t="shared" si="23"/>
        <v>1426.9</v>
      </c>
      <c r="AF50" s="92">
        <f>IF(D50&gt;30,'DATOS REFERENCIALES'!$D$13,('DATOS REFERENCIALES'!$E$13*D50))</f>
        <v>80.666666666666671</v>
      </c>
      <c r="AG50" s="270"/>
      <c r="AH50" s="80" t="e">
        <f>IF(D50&gt;'DATOS REFERENCIALES'!#REF!,'DATOS REFERENCIALES'!#REF!,('DATOS REFERENCIALES'!#REF!*D50))</f>
        <v>#REF!</v>
      </c>
      <c r="AI50" s="148">
        <f t="shared" si="26"/>
        <v>80.666666666666671</v>
      </c>
      <c r="AJ50" s="80">
        <f>IF(D50&gt;'DATOS REFERENCIALES'!$I$12,'DATOS REFERENCIALES'!$D$12,'DATOS REFERENCIALES'!$E$12*D50)</f>
        <v>14</v>
      </c>
      <c r="AK50" s="80">
        <f t="shared" si="30"/>
        <v>1602.2333333333336</v>
      </c>
      <c r="AL50" s="589">
        <f>IF(D50&gt;'DATOS REFERENCIALES'!$I$16,'DATOS REFERENCIALES'!$D$16,'DATOS REFERENCIALES'!$E$16*D50)</f>
        <v>134.82033333333334</v>
      </c>
      <c r="AM50" s="589">
        <f t="shared" si="27"/>
        <v>31.682778333333331</v>
      </c>
      <c r="AN50" s="589">
        <f t="shared" si="28"/>
        <v>103.13755500000001</v>
      </c>
      <c r="AO50" s="589">
        <f t="shared" si="29"/>
        <v>1705.3708883333336</v>
      </c>
      <c r="AP50" s="17"/>
      <c r="AQ50" s="17"/>
      <c r="AU50" s="8"/>
    </row>
    <row r="51" spans="1:47" s="1" customFormat="1" ht="21.75" customHeight="1" thickBot="1" x14ac:dyDescent="0.25">
      <c r="A51" s="43"/>
      <c r="B51" s="96"/>
      <c r="C51" s="44"/>
      <c r="D51" s="44"/>
      <c r="E51" s="44"/>
      <c r="F51" s="44"/>
      <c r="G51" s="67"/>
      <c r="H51" s="44"/>
      <c r="I51" s="44"/>
      <c r="J51" s="44"/>
      <c r="K51" s="41"/>
      <c r="L51" s="41"/>
      <c r="M51" s="41"/>
      <c r="N51" s="42"/>
      <c r="O51" s="73"/>
      <c r="P51" s="41"/>
      <c r="Q51" s="42"/>
      <c r="R51" s="42"/>
      <c r="S51" s="42"/>
      <c r="T51" s="73"/>
      <c r="U51" s="42"/>
      <c r="V51" s="42"/>
      <c r="W51" s="42"/>
      <c r="X51" s="42"/>
      <c r="Y51" s="42"/>
      <c r="Z51" s="73"/>
      <c r="AA51" s="45"/>
      <c r="AB51" s="46"/>
      <c r="AC51" s="46"/>
      <c r="AD51" s="45"/>
      <c r="AE51" s="45"/>
      <c r="AF51" s="47"/>
      <c r="AG51" s="47"/>
      <c r="AH51" s="68"/>
      <c r="AI51" s="68"/>
      <c r="AJ51" s="68"/>
      <c r="AK51" s="45"/>
      <c r="AL51" s="13"/>
      <c r="AM51" s="13"/>
      <c r="AN51" s="13"/>
      <c r="AO51" s="16"/>
      <c r="AP51" s="17"/>
      <c r="AQ51" s="17"/>
      <c r="AU51" s="8"/>
    </row>
    <row r="52" spans="1:47" s="1" customFormat="1" ht="21" thickBot="1" x14ac:dyDescent="0.35">
      <c r="A52" s="94" t="s">
        <v>133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4" t="s">
        <v>133</v>
      </c>
      <c r="AE52" s="95"/>
      <c r="AF52" s="95"/>
      <c r="AG52" s="95"/>
      <c r="AH52" s="95"/>
      <c r="AI52" s="95"/>
      <c r="AJ52" s="95"/>
      <c r="AK52" s="95"/>
      <c r="AL52" s="13"/>
      <c r="AM52" s="574">
        <v>0.23499999999999999</v>
      </c>
      <c r="AN52" s="13"/>
      <c r="AO52" s="16"/>
      <c r="AP52" s="17"/>
      <c r="AQ52" s="17"/>
    </row>
    <row r="53" spans="1:47" s="2" customFormat="1" ht="12.75" customHeight="1" thickBot="1" x14ac:dyDescent="0.25">
      <c r="A53" s="726" t="s">
        <v>1</v>
      </c>
      <c r="B53" s="726" t="s">
        <v>0</v>
      </c>
      <c r="C53" s="658" t="s">
        <v>77</v>
      </c>
      <c r="D53" s="658" t="s">
        <v>119</v>
      </c>
      <c r="E53" s="658" t="s">
        <v>127</v>
      </c>
      <c r="F53" s="658" t="s">
        <v>113</v>
      </c>
      <c r="G53" s="658" t="s">
        <v>102</v>
      </c>
      <c r="H53" s="658" t="s">
        <v>79</v>
      </c>
      <c r="I53" s="658" t="s">
        <v>147</v>
      </c>
      <c r="J53" s="684" t="s">
        <v>146</v>
      </c>
      <c r="K53" s="684" t="s">
        <v>121</v>
      </c>
      <c r="L53" s="684" t="s">
        <v>145</v>
      </c>
      <c r="M53" s="684" t="s">
        <v>146</v>
      </c>
      <c r="N53" s="761" t="s">
        <v>85</v>
      </c>
      <c r="O53" s="686" t="s">
        <v>120</v>
      </c>
      <c r="P53" s="697" t="s">
        <v>86</v>
      </c>
      <c r="Q53" s="686" t="s">
        <v>101</v>
      </c>
      <c r="R53" s="686" t="s">
        <v>84</v>
      </c>
      <c r="S53" s="658" t="s">
        <v>209</v>
      </c>
      <c r="T53" s="686" t="s">
        <v>69</v>
      </c>
      <c r="U53" s="701" t="s">
        <v>59</v>
      </c>
      <c r="V53" s="701"/>
      <c r="W53" s="701"/>
      <c r="X53" s="701"/>
      <c r="Y53" s="701"/>
      <c r="Z53" s="658" t="s">
        <v>68</v>
      </c>
      <c r="AA53" s="658" t="s">
        <v>89</v>
      </c>
      <c r="AB53" s="658" t="s">
        <v>88</v>
      </c>
      <c r="AC53" s="658" t="s">
        <v>208</v>
      </c>
      <c r="AD53" s="658" t="s">
        <v>87</v>
      </c>
      <c r="AE53" s="658" t="s">
        <v>91</v>
      </c>
      <c r="AF53" s="658" t="s">
        <v>90</v>
      </c>
      <c r="AG53" s="658" t="s">
        <v>173</v>
      </c>
      <c r="AH53" s="658" t="s">
        <v>190</v>
      </c>
      <c r="AI53" s="658" t="s">
        <v>196</v>
      </c>
      <c r="AJ53" s="696" t="s">
        <v>174</v>
      </c>
      <c r="AK53" s="658" t="s">
        <v>92</v>
      </c>
      <c r="AL53" s="658" t="s">
        <v>186</v>
      </c>
      <c r="AM53" s="682" t="s">
        <v>68</v>
      </c>
      <c r="AN53" s="658" t="s">
        <v>188</v>
      </c>
      <c r="AO53" s="658" t="s">
        <v>189</v>
      </c>
      <c r="AP53" s="17"/>
      <c r="AQ53" s="17"/>
    </row>
    <row r="54" spans="1:47" s="2" customFormat="1" ht="87.75" customHeight="1" thickBot="1" x14ac:dyDescent="0.25">
      <c r="A54" s="768"/>
      <c r="B54" s="768"/>
      <c r="C54" s="659"/>
      <c r="D54" s="659"/>
      <c r="E54" s="659"/>
      <c r="F54" s="659"/>
      <c r="G54" s="659"/>
      <c r="H54" s="659"/>
      <c r="I54" s="679"/>
      <c r="J54" s="685"/>
      <c r="K54" s="769"/>
      <c r="L54" s="769"/>
      <c r="M54" s="769"/>
      <c r="N54" s="772"/>
      <c r="O54" s="719"/>
      <c r="P54" s="771"/>
      <c r="Q54" s="719"/>
      <c r="R54" s="719"/>
      <c r="S54" s="679"/>
      <c r="T54" s="719"/>
      <c r="U54" s="97" t="s">
        <v>140</v>
      </c>
      <c r="V54" s="97" t="s">
        <v>61</v>
      </c>
      <c r="W54" s="97" t="s">
        <v>62</v>
      </c>
      <c r="X54" s="97" t="s">
        <v>63</v>
      </c>
      <c r="Y54" s="97" t="s">
        <v>64</v>
      </c>
      <c r="Z54" s="659"/>
      <c r="AA54" s="659"/>
      <c r="AB54" s="659"/>
      <c r="AC54" s="659"/>
      <c r="AD54" s="679"/>
      <c r="AE54" s="659"/>
      <c r="AF54" s="659"/>
      <c r="AG54" s="679"/>
      <c r="AH54" s="659"/>
      <c r="AI54" s="679"/>
      <c r="AJ54" s="679"/>
      <c r="AK54" s="659"/>
      <c r="AL54" s="679"/>
      <c r="AM54" s="683"/>
      <c r="AN54" s="679"/>
      <c r="AO54" s="679"/>
      <c r="AP54" s="17"/>
      <c r="AQ54" s="17"/>
    </row>
    <row r="55" spans="1:47" s="1" customFormat="1" ht="24.75" customHeight="1" x14ac:dyDescent="0.2">
      <c r="A55" s="500">
        <v>5080</v>
      </c>
      <c r="B55" s="501" t="s">
        <v>23</v>
      </c>
      <c r="C55" s="337">
        <v>0</v>
      </c>
      <c r="D55" s="489"/>
      <c r="E55" s="489"/>
      <c r="F55" s="489"/>
      <c r="G55" s="407">
        <v>3128</v>
      </c>
      <c r="H55" s="337">
        <f t="shared" ref="H55:H62" si="31">SUM(G55:G55)</f>
        <v>3128</v>
      </c>
      <c r="I55" s="613"/>
      <c r="J55" s="337"/>
      <c r="K55" s="342">
        <f>H55*'DATOS REFERENCIALES'!$C$4</f>
        <v>30015.662400000001</v>
      </c>
      <c r="L55" s="342"/>
      <c r="M55" s="342"/>
      <c r="N55" s="344">
        <f>LOOKUP(C55,'TABLA ANTIG.'!$A$4:$A$39,'TABLA ANTIG.'!$B$4:$B$39)*(K55)</f>
        <v>0</v>
      </c>
      <c r="O55" s="344">
        <f t="shared" ref="O55:O62" si="32">K55*0.1</f>
        <v>3001.5662400000001</v>
      </c>
      <c r="P55" s="342">
        <f>'DATOS REFERENCIALES'!$D$8</f>
        <v>12764</v>
      </c>
      <c r="Q55" s="344">
        <f>LOOKUP(C55,'TABLA ANTIG.'!$A$4:$A$39,'TABLA ANTIG.'!$B$4:$B$39)*(P55)</f>
        <v>0</v>
      </c>
      <c r="R55" s="344">
        <v>0</v>
      </c>
      <c r="S55" s="344">
        <f>IF(C55&gt;11,IF(H55&gt;1134,'DATOS REFERENCIALES'!$C$18,'DATOS REFERENCIALES'!$C$18/1135*H55),0)</f>
        <v>0</v>
      </c>
      <c r="T55" s="344">
        <f>K55+N55+O55+P55+Q55+R55+S55</f>
        <v>45781.228640000001</v>
      </c>
      <c r="U55" s="344">
        <f t="shared" ref="U55:U62" si="33">$T55*11%</f>
        <v>5035.9351504000006</v>
      </c>
      <c r="V55" s="344">
        <f t="shared" ref="V55:W62" si="34">$T55*3%</f>
        <v>1373.4368592000001</v>
      </c>
      <c r="W55" s="344">
        <f t="shared" si="34"/>
        <v>1373.4368592000001</v>
      </c>
      <c r="X55" s="344">
        <f t="shared" ref="X55:X62" si="35">$T55*2%</f>
        <v>915.62457280000001</v>
      </c>
      <c r="Y55" s="344">
        <f t="shared" ref="Y55:Y62" si="36">$T55*4.5%</f>
        <v>2060.1552888000001</v>
      </c>
      <c r="Z55" s="344">
        <f t="shared" ref="Z55:Z62" si="37">SUM(U55:Y55)</f>
        <v>10758.588730400001</v>
      </c>
      <c r="AA55" s="344">
        <f t="shared" ref="AA55:AA62" si="38">T55-Z55</f>
        <v>35022.639909600002</v>
      </c>
      <c r="AB55" s="502">
        <f>'DATOS REFERENCIALES'!$D$10</f>
        <v>4540</v>
      </c>
      <c r="AC55" s="422">
        <f>IF(C55&lt;12,IF(H55&gt;2069,'DATOS REFERENCIALES'!$D$17,'DATOS REFERENCIALES'!$D$17/2070*H55),0)</f>
        <v>5168</v>
      </c>
      <c r="AD55" s="422">
        <f>IF((IF(H55&gt;2069,('DATOS REFERENCIALES'!$D$9-(T55-U55-V55-W55-X55-Y55+AB55+AC55)),(('DATOS REFERENCIALES'!$D$9/2070)*H55)-(K55+N55+O55+P55+Q55+S55-U55-V55-W55-X55-Y55+AB55+AC55)))&lt;0,0,IF(H55&gt;2069,(('DATOS REFERENCIALES'!$D$9)-(T55-U55-V55-W55-X55-Y55+AB55+AC55)),(('DATOS REFERENCIALES'!$D$9/2070)*H55)-(K55+N55+O55+P55+Q55+S55-U55-V55-W55-X55-Y55+AB55+AC55)))</f>
        <v>12345.360090400005</v>
      </c>
      <c r="AE55" s="348">
        <f t="shared" ref="AE55:AE62" si="39">SUM(AA55:AD55)</f>
        <v>57076.000000000007</v>
      </c>
      <c r="AF55" s="349">
        <f>'DATOS REFERENCIALES'!$D$13</f>
        <v>2420</v>
      </c>
      <c r="AG55" s="370"/>
      <c r="AH55" s="348" t="e">
        <f>IF($H55&gt;2042,'DATOS REFERENCIALES'!#REF!,'DATOS REFERENCIALES'!#REF!/2043*$H55)</f>
        <v>#REF!</v>
      </c>
      <c r="AI55" s="348">
        <f>+AF55</f>
        <v>2420</v>
      </c>
      <c r="AJ55" s="344">
        <f>'DATOS REFERENCIALES'!$D$12</f>
        <v>420</v>
      </c>
      <c r="AK55" s="676">
        <f>+AE55+AE56+AF55+AI55+AJ55</f>
        <v>65493.272488700008</v>
      </c>
      <c r="AL55" s="660">
        <f>'DATOS REFERENCIALES'!D16</f>
        <v>4044.61</v>
      </c>
      <c r="AM55" s="676">
        <f>AL55*$AM$52</f>
        <v>950.48334999999997</v>
      </c>
      <c r="AN55" s="676">
        <f>AL55-AM55</f>
        <v>3094.1266500000002</v>
      </c>
      <c r="AO55" s="674">
        <f>AK55+AN55</f>
        <v>68587.399138700013</v>
      </c>
      <c r="AP55" s="17"/>
      <c r="AQ55" s="17"/>
      <c r="AU55" s="8"/>
    </row>
    <row r="56" spans="1:47" s="1" customFormat="1" ht="25.5" customHeight="1" thickBot="1" x14ac:dyDescent="0.25">
      <c r="A56" s="503">
        <v>5080</v>
      </c>
      <c r="B56" s="504" t="s">
        <v>23</v>
      </c>
      <c r="C56" s="352">
        <f>IF(C55&gt;0,C55,0)</f>
        <v>0</v>
      </c>
      <c r="D56" s="505"/>
      <c r="E56" s="505"/>
      <c r="F56" s="505"/>
      <c r="G56" s="506"/>
      <c r="H56" s="507"/>
      <c r="I56" s="614">
        <f>234.6/'DATOS REFERENCIALES'!$I$4*'DATOS REFERENCIALES'!$J$4</f>
        <v>390.99999999999994</v>
      </c>
      <c r="J56" s="356"/>
      <c r="K56" s="357"/>
      <c r="L56" s="357">
        <f>I56*'DATOS REFERENCIALES'!$C$4</f>
        <v>3751.9577999999997</v>
      </c>
      <c r="M56" s="357">
        <f>IF(J56='DATOS REFERENCIALES'!$C$31,K55*'DATOS REFERENCIALES'!$D$31,IF(J56='DATOS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REFERENCIALES'!$D$37*K55),IF(J56='DATOS REFERENCIALES'!$C$38,('DATOS REFERENCIALES'!$D$38*K55),0))))))))</f>
        <v>0</v>
      </c>
      <c r="N56" s="359">
        <f>LOOKUP(C56,'TABLA ANTIG.'!$A$4:$A$39,'TABLA ANTIG.'!$B$4:$B$39)*(L56+M56)</f>
        <v>0</v>
      </c>
      <c r="O56" s="359">
        <f>(L56+M56)*0.1</f>
        <v>375.19578000000001</v>
      </c>
      <c r="P56" s="357"/>
      <c r="Q56" s="359"/>
      <c r="R56" s="358"/>
      <c r="S56" s="359"/>
      <c r="T56" s="359">
        <f>L56+M56+N56+O56+P56+Q56+R56</f>
        <v>4127.1535800000001</v>
      </c>
      <c r="U56" s="362">
        <f t="shared" si="33"/>
        <v>453.98689380000002</v>
      </c>
      <c r="V56" s="359">
        <f t="shared" si="34"/>
        <v>123.8146074</v>
      </c>
      <c r="W56" s="362">
        <f t="shared" si="34"/>
        <v>123.8146074</v>
      </c>
      <c r="X56" s="359">
        <f>$T56*2%</f>
        <v>82.543071600000005</v>
      </c>
      <c r="Y56" s="359">
        <f t="shared" si="36"/>
        <v>185.7219111</v>
      </c>
      <c r="Z56" s="359">
        <f t="shared" si="37"/>
        <v>969.88109129999998</v>
      </c>
      <c r="AA56" s="363">
        <f t="shared" si="38"/>
        <v>3157.2724887000004</v>
      </c>
      <c r="AB56" s="359"/>
      <c r="AC56" s="362"/>
      <c r="AD56" s="359"/>
      <c r="AE56" s="358">
        <f t="shared" si="39"/>
        <v>3157.2724887000004</v>
      </c>
      <c r="AF56" s="364"/>
      <c r="AG56" s="376"/>
      <c r="AH56" s="358"/>
      <c r="AI56" s="358"/>
      <c r="AJ56" s="359"/>
      <c r="AK56" s="677"/>
      <c r="AL56" s="661"/>
      <c r="AM56" s="677"/>
      <c r="AN56" s="677"/>
      <c r="AO56" s="675"/>
      <c r="AP56" s="17"/>
      <c r="AQ56" s="17"/>
      <c r="AU56" s="8"/>
    </row>
    <row r="57" spans="1:47" s="1" customFormat="1" ht="33.75" customHeight="1" x14ac:dyDescent="0.2">
      <c r="A57" s="276">
        <v>5081</v>
      </c>
      <c r="B57" s="508" t="s">
        <v>67</v>
      </c>
      <c r="C57" s="276">
        <v>0</v>
      </c>
      <c r="D57" s="509"/>
      <c r="E57" s="509"/>
      <c r="F57" s="509"/>
      <c r="G57" s="277">
        <v>2669</v>
      </c>
      <c r="H57" s="276">
        <f t="shared" si="31"/>
        <v>2669</v>
      </c>
      <c r="I57" s="615"/>
      <c r="J57" s="276"/>
      <c r="K57" s="278">
        <f>H57*'DATOS REFERENCIALES'!$C$4</f>
        <v>25611.190200000001</v>
      </c>
      <c r="L57" s="278"/>
      <c r="M57" s="278"/>
      <c r="N57" s="280">
        <f>LOOKUP(C57,'TABLA ANTIG.'!$A$4:$A$39,'TABLA ANTIG.'!$B$4:$B$39)*(K57)</f>
        <v>0</v>
      </c>
      <c r="O57" s="280">
        <f t="shared" si="32"/>
        <v>2561.1190200000001</v>
      </c>
      <c r="P57" s="278">
        <f>'DATOS REFERENCIALES'!$D$8</f>
        <v>12764</v>
      </c>
      <c r="Q57" s="280">
        <f>LOOKUP(C57,'TABLA ANTIG.'!$A$4:$A$39,'TABLA ANTIG.'!$B$4:$B$39)*(P57)</f>
        <v>0</v>
      </c>
      <c r="R57" s="280">
        <v>0</v>
      </c>
      <c r="S57" s="280">
        <f>IF(C57&gt;11,IF(H57&gt;1134,'DATOS REFERENCIALES'!$C$18,'DATOS REFERENCIALES'!$C$18/1135*H57),0)</f>
        <v>0</v>
      </c>
      <c r="T57" s="280">
        <f>K57+N57+O57+P57+Q57+R57+S57</f>
        <v>40936.309220000003</v>
      </c>
      <c r="U57" s="280">
        <f t="shared" si="33"/>
        <v>4502.9940142000005</v>
      </c>
      <c r="V57" s="280">
        <f t="shared" si="34"/>
        <v>1228.0892765999999</v>
      </c>
      <c r="W57" s="280">
        <f t="shared" si="34"/>
        <v>1228.0892765999999</v>
      </c>
      <c r="X57" s="280">
        <f t="shared" si="35"/>
        <v>818.72618440000008</v>
      </c>
      <c r="Y57" s="280">
        <f t="shared" si="36"/>
        <v>1842.1339149</v>
      </c>
      <c r="Z57" s="280">
        <f t="shared" si="37"/>
        <v>9620.0326667000008</v>
      </c>
      <c r="AA57" s="280">
        <f t="shared" si="38"/>
        <v>31316.276553300002</v>
      </c>
      <c r="AB57" s="510">
        <f>'DATOS REFERENCIALES'!$D$10</f>
        <v>4540</v>
      </c>
      <c r="AC57" s="283">
        <f>IF(C57&lt;12,IF(H57&gt;1134,'DATOS REFERENCIALES'!$C$17,'DATOS REFERENCIALES'!$C$17/1135*H57),0)</f>
        <v>2584</v>
      </c>
      <c r="AD57" s="415">
        <f>IF((IF(H57&gt;1134,('DATOS REFERENCIALES'!$C$9-(T57-U57-V57-W57-X57-Y57+AB57+AC57-L57-L57*0.235)),(('DATOS REFERENCIALES'!$C$9/1135)*H57)-(K57+N57+O57+P57+Q57+S57-U57-V57-W57-X57-Y57+AB57+AC57-(L57-L57*0.235))))&lt;0,0,IF(H57&gt;1134,(('DATOS REFERENCIALES'!$C$9)-(T57-U57-V57-W57-X57-Y57+AB57+AC57-(L57-L57*0.235))),(('DATOS REFERENCIALES'!$C$9/1135)*H57)-(K57+N57+O57+P57+Q57+S57-U57-V57-W57-X57-Y57+AB57+AC57-(L57-L57*0.235))))</f>
        <v>0</v>
      </c>
      <c r="AE57" s="282">
        <f t="shared" si="39"/>
        <v>38440.276553300006</v>
      </c>
      <c r="AF57" s="285">
        <f>'DATOS REFERENCIALES'!$D$13</f>
        <v>2420</v>
      </c>
      <c r="AG57" s="399"/>
      <c r="AH57" s="282" t="e">
        <f>IF($H57&gt;2042,'DATOS REFERENCIALES'!#REF!,'DATOS REFERENCIALES'!#REF!/2043*$H57)</f>
        <v>#REF!</v>
      </c>
      <c r="AI57" s="282">
        <f>+AF57</f>
        <v>2420</v>
      </c>
      <c r="AJ57" s="280">
        <f>'DATOS REFERENCIALES'!$D$12</f>
        <v>420</v>
      </c>
      <c r="AK57" s="664">
        <f>+AE57+AE58+AF57+AI57+AJ57</f>
        <v>46394.320913010008</v>
      </c>
      <c r="AL57" s="662">
        <f>'DATOS REFERENCIALES'!D16</f>
        <v>4044.61</v>
      </c>
      <c r="AM57" s="664">
        <f>AL57*$AM$52</f>
        <v>950.48334999999997</v>
      </c>
      <c r="AN57" s="664">
        <f>AL57-AM57</f>
        <v>3094.1266500000002</v>
      </c>
      <c r="AO57" s="666">
        <f>AK57+AN57</f>
        <v>49488.447563010006</v>
      </c>
      <c r="AP57" s="17"/>
      <c r="AQ57" s="17"/>
      <c r="AU57" s="8"/>
    </row>
    <row r="58" spans="1:47" s="1" customFormat="1" ht="33.75" customHeight="1" thickBot="1" x14ac:dyDescent="0.25">
      <c r="A58" s="328">
        <v>5081</v>
      </c>
      <c r="B58" s="511" t="s">
        <v>67</v>
      </c>
      <c r="C58" s="288">
        <f>IF(C57&gt;0,C57,0)</f>
        <v>0</v>
      </c>
      <c r="D58" s="512"/>
      <c r="E58" s="512"/>
      <c r="F58" s="512"/>
      <c r="G58" s="418"/>
      <c r="H58" s="328"/>
      <c r="I58" s="621">
        <f>200.18/'DATOS REFERENCIALES'!$I$4*'DATOS REFERENCIALES'!$J$4</f>
        <v>333.63333333333338</v>
      </c>
      <c r="J58" s="513"/>
      <c r="K58" s="332"/>
      <c r="L58" s="332">
        <f>I58*'DATOS REFERENCIALES'!$C$4</f>
        <v>3201.4787400000005</v>
      </c>
      <c r="M58" s="332">
        <f>IF(J58='DATOS REFERENCIALES'!$C$31,K57*'DATOS REFERENCIALES'!$D$31,IF(J58='DATOS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REFERENCIALES'!$D$37*K57),IF(J58='DATOS REFERENCIALES'!$C$38,('DATOS REFERENCIALES'!$D$38*K57),0))))))))</f>
        <v>0</v>
      </c>
      <c r="N58" s="299">
        <f>LOOKUP(C58,'TABLA ANTIG.'!$A$4:$A$39,'TABLA ANTIG.'!$B$4:$B$39)*(L58+M58)</f>
        <v>0</v>
      </c>
      <c r="O58" s="299">
        <f>(L58+M58)*0.1</f>
        <v>320.14787400000006</v>
      </c>
      <c r="P58" s="332"/>
      <c r="Q58" s="299"/>
      <c r="R58" s="297"/>
      <c r="S58" s="296"/>
      <c r="T58" s="299">
        <f>L58+M58+N58+O58+P58+Q58+R58</f>
        <v>3521.6266140000007</v>
      </c>
      <c r="U58" s="333">
        <f t="shared" si="33"/>
        <v>387.37892754000006</v>
      </c>
      <c r="V58" s="299">
        <f t="shared" si="34"/>
        <v>105.64879842000002</v>
      </c>
      <c r="W58" s="333">
        <f t="shared" si="34"/>
        <v>105.64879842000002</v>
      </c>
      <c r="X58" s="299">
        <f>$T58*2%</f>
        <v>70.432532280000018</v>
      </c>
      <c r="Y58" s="299">
        <f t="shared" si="36"/>
        <v>158.47319763000002</v>
      </c>
      <c r="Z58" s="299">
        <f t="shared" si="37"/>
        <v>827.58225429000026</v>
      </c>
      <c r="AA58" s="334">
        <f t="shared" si="38"/>
        <v>2694.0443597100002</v>
      </c>
      <c r="AB58" s="299"/>
      <c r="AC58" s="652"/>
      <c r="AD58" s="299"/>
      <c r="AE58" s="297">
        <f t="shared" si="39"/>
        <v>2694.0443597100002</v>
      </c>
      <c r="AF58" s="526"/>
      <c r="AG58" s="405"/>
      <c r="AH58" s="297"/>
      <c r="AI58" s="297"/>
      <c r="AJ58" s="299"/>
      <c r="AK58" s="665"/>
      <c r="AL58" s="714"/>
      <c r="AM58" s="715"/>
      <c r="AN58" s="715"/>
      <c r="AO58" s="716"/>
      <c r="AP58" s="17"/>
      <c r="AQ58" s="17"/>
      <c r="AU58" s="8"/>
    </row>
    <row r="59" spans="1:47" s="1" customFormat="1" ht="21.75" customHeight="1" x14ac:dyDescent="0.2">
      <c r="A59" s="59">
        <v>5089</v>
      </c>
      <c r="B59" s="108" t="s">
        <v>65</v>
      </c>
      <c r="C59" s="59">
        <v>0</v>
      </c>
      <c r="D59" s="59"/>
      <c r="E59" s="59"/>
      <c r="F59" s="59"/>
      <c r="G59" s="52">
        <v>1008</v>
      </c>
      <c r="H59" s="35">
        <f t="shared" si="31"/>
        <v>1008</v>
      </c>
      <c r="I59" s="88"/>
      <c r="J59" s="35"/>
      <c r="K59" s="89">
        <f>H59*'DATOS REFERENCIALES'!$C$4</f>
        <v>9672.5663999999997</v>
      </c>
      <c r="L59" s="89"/>
      <c r="M59" s="89"/>
      <c r="N59" s="79">
        <f>LOOKUP(C59,'TABLA ANTIG.'!$A$4:$A$39,'TABLA ANTIG.'!$B$4:$B$39)*(K59)</f>
        <v>0</v>
      </c>
      <c r="O59" s="27">
        <f t="shared" si="32"/>
        <v>967.25664000000006</v>
      </c>
      <c r="P59" s="89">
        <f>'DATOS REFERENCIALES'!$C$8</f>
        <v>6382</v>
      </c>
      <c r="Q59" s="79">
        <f>LOOKUP(C59,'TABLA ANTIG.'!$A$4:$A$39,'TABLA ANTIG.'!$B$4:$B$39)*(P59)</f>
        <v>0</v>
      </c>
      <c r="R59" s="147">
        <v>0</v>
      </c>
      <c r="S59" s="543">
        <f>IF(C59&gt;11,IF(H59&gt;1134,'DATOS REFERENCIALES'!$C$18,'DATOS REFERENCIALES'!$C$18/1135*H59),0)</f>
        <v>0</v>
      </c>
      <c r="T59" s="550">
        <f>K59+N59+O59+P59+Q59+R59+S59</f>
        <v>17021.823039999999</v>
      </c>
      <c r="U59" s="79">
        <f t="shared" si="33"/>
        <v>1872.4005344</v>
      </c>
      <c r="V59" s="79">
        <f t="shared" si="34"/>
        <v>510.65469119999995</v>
      </c>
      <c r="W59" s="79">
        <f t="shared" si="34"/>
        <v>510.65469119999995</v>
      </c>
      <c r="X59" s="79">
        <f t="shared" si="35"/>
        <v>340.43646080000002</v>
      </c>
      <c r="Y59" s="79">
        <f t="shared" si="36"/>
        <v>765.98203679999995</v>
      </c>
      <c r="Z59" s="27">
        <f t="shared" si="37"/>
        <v>4000.1284144000001</v>
      </c>
      <c r="AA59" s="79">
        <f t="shared" si="38"/>
        <v>13021.694625599999</v>
      </c>
      <c r="AB59" s="147">
        <f>'DATOS REFERENCIALES'!$C$10</f>
        <v>2270</v>
      </c>
      <c r="AC59" s="543">
        <f>IF(C59&lt;12,IF(H59&gt;1134,'DATOS REFERENCIALES'!$C$17,'DATOS REFERENCIALES'!$C$17/1135*H59),0)</f>
        <v>2294.8651982378851</v>
      </c>
      <c r="AD59" s="78">
        <f>IF((IF(H59&gt;1134,('DATOS REFERENCIALES'!$C$9-(T59-U59-V59-W59-X59-Y59+AB59+AC59-L59-L59*0.235)),(('DATOS REFERENCIALES'!$C$9/1135)*H59)-(K59+N59+O59+P59+Q59+S59-U59-V59-W59-X59-Y59+AB59+AC59-(L59-L59*0.235))))&lt;0,0,IF(H59&gt;1134,(('DATOS REFERENCIALES'!$C$9)-(T59-U59-V59-W59-X59-Y59+AB59+AC59-(L59-L59*0.235))),(('DATOS REFERENCIALES'!$C$9/1135)*H59)-(K59+N59+O59+P59+Q59+S59-U59-V59-W59-X59-Y59+AB59+AC59-(L59-L59*0.235))))</f>
        <v>7758.2014096422899</v>
      </c>
      <c r="AE59" s="130">
        <f t="shared" si="39"/>
        <v>25344.761233480174</v>
      </c>
      <c r="AF59" s="91">
        <f>'DATOS REFERENCIALES'!$C$13</f>
        <v>1210</v>
      </c>
      <c r="AG59" s="272"/>
      <c r="AH59" s="78" t="e">
        <f>IF($H59&gt;1119,'DATOS REFERENCIALES'!#REF!,'DATOS REFERENCIALES'!#REF!/1120*$H59)</f>
        <v>#REF!</v>
      </c>
      <c r="AI59" s="106">
        <f>+AF59</f>
        <v>1210</v>
      </c>
      <c r="AJ59" s="79">
        <f>'DATOS REFERENCIALES'!$C$12</f>
        <v>210</v>
      </c>
      <c r="AK59" s="78">
        <f>+AE59+AF59+AI59+AJ59</f>
        <v>27974.761233480174</v>
      </c>
      <c r="AL59" s="562">
        <f>'DATOS REFERENCIALES'!C16</f>
        <v>2022.3050000000001</v>
      </c>
      <c r="AM59" s="562">
        <f>AL59*$AM$52</f>
        <v>475.24167499999999</v>
      </c>
      <c r="AN59" s="562">
        <f>AL59-AM59</f>
        <v>1547.0633250000001</v>
      </c>
      <c r="AO59" s="562">
        <f>AK59+AN59</f>
        <v>29521.824558480173</v>
      </c>
      <c r="AP59" s="17"/>
      <c r="AQ59" s="17"/>
      <c r="AU59" s="8"/>
    </row>
    <row r="60" spans="1:47" s="1" customFormat="1" ht="21.75" customHeight="1" x14ac:dyDescent="0.2">
      <c r="A60" s="59">
        <v>5088</v>
      </c>
      <c r="B60" s="108" t="s">
        <v>66</v>
      </c>
      <c r="C60" s="59">
        <v>0</v>
      </c>
      <c r="D60" s="59"/>
      <c r="E60" s="59"/>
      <c r="F60" s="59"/>
      <c r="G60" s="52">
        <v>823</v>
      </c>
      <c r="H60" s="35">
        <f t="shared" si="31"/>
        <v>823</v>
      </c>
      <c r="I60" s="88"/>
      <c r="J60" s="35"/>
      <c r="K60" s="89">
        <f>H60*'DATOS REFERENCIALES'!$C$4</f>
        <v>7897.3434000000007</v>
      </c>
      <c r="L60" s="89"/>
      <c r="M60" s="89"/>
      <c r="N60" s="79">
        <f>LOOKUP(C60,'TABLA ANTIG.'!$A$4:$A$39,'TABLA ANTIG.'!$B$4:$B$39)*(K60)</f>
        <v>0</v>
      </c>
      <c r="O60" s="27">
        <f t="shared" si="32"/>
        <v>789.73434000000009</v>
      </c>
      <c r="P60" s="89">
        <f>'DATOS REFERENCIALES'!$C$8</f>
        <v>6382</v>
      </c>
      <c r="Q60" s="79">
        <f>LOOKUP(C60,'TABLA ANTIG.'!$A$4:$A$39,'TABLA ANTIG.'!$B$4:$B$39)*(P60)</f>
        <v>0</v>
      </c>
      <c r="R60" s="147">
        <v>0</v>
      </c>
      <c r="S60" s="545">
        <f>IF(C60&gt;11,IF(H60&gt;1134,'DATOS REFERENCIALES'!$C$18,'DATOS REFERENCIALES'!$C$18/1135*H60),0)</f>
        <v>0</v>
      </c>
      <c r="T60" s="159">
        <f>K60+N60+O60+P60+Q60+R60+S60</f>
        <v>15069.077740000001</v>
      </c>
      <c r="U60" s="79">
        <f t="shared" si="33"/>
        <v>1657.5985514000001</v>
      </c>
      <c r="V60" s="79">
        <f t="shared" si="34"/>
        <v>452.07233220000001</v>
      </c>
      <c r="W60" s="79">
        <f t="shared" si="34"/>
        <v>452.07233220000001</v>
      </c>
      <c r="X60" s="79">
        <f t="shared" si="35"/>
        <v>301.3815548</v>
      </c>
      <c r="Y60" s="79">
        <f t="shared" si="36"/>
        <v>678.10849829999995</v>
      </c>
      <c r="Z60" s="27">
        <f t="shared" si="37"/>
        <v>3541.2332689000004</v>
      </c>
      <c r="AA60" s="79">
        <f t="shared" si="38"/>
        <v>11527.844471100001</v>
      </c>
      <c r="AB60" s="147">
        <f>'DATOS REFERENCIALES'!$C$10</f>
        <v>2270</v>
      </c>
      <c r="AC60" s="545">
        <f>IF(C60&lt;12,IF(H60&gt;1134,'DATOS REFERENCIALES'!$C$17,'DATOS REFERENCIALES'!$C$17/1135*H60),0)</f>
        <v>1873.6845814977971</v>
      </c>
      <c r="AD60" s="79">
        <f>IF((IF(H60&gt;1134,('DATOS REFERENCIALES'!$C$9-(T60-U60-V60-W60-X60-Y60+AB60+AC60-L60-L60*0.235)),(('DATOS REFERENCIALES'!$C$9/1135)*H60)-(K60+N60+O60+P60+Q60+S60-U60-V60-W60-X60-Y60+AB60+AC60-(L60-L60*0.235))))&lt;0,0,IF(H60&gt;1134,(('DATOS REFERENCIALES'!$C$9)-(T60-U60-V60-W60-X60-Y60+AB60+AC60-(L60-L60*0.235))),(('DATOS REFERENCIALES'!$C$9/1135)*H60)-(K60+N60+O60+P60+Q60+S60-U60-V60-W60-X60-Y60+AB60+AC60-(L60-L60*0.235))))</f>
        <v>5021.6638989440507</v>
      </c>
      <c r="AE60" s="130">
        <f t="shared" si="39"/>
        <v>20693.192951541849</v>
      </c>
      <c r="AF60" s="91">
        <f>'DATOS REFERENCIALES'!$C$13</f>
        <v>1210</v>
      </c>
      <c r="AG60" s="272"/>
      <c r="AH60" s="79" t="e">
        <f>IF($H60&gt;1119,'DATOS REFERENCIALES'!#REF!,'DATOS REFERENCIALES'!#REF!/1120*$H60)</f>
        <v>#REF!</v>
      </c>
      <c r="AI60" s="79">
        <f>+AF60</f>
        <v>1210</v>
      </c>
      <c r="AJ60" s="79">
        <f>'DATOS REFERENCIALES'!$C$12</f>
        <v>210</v>
      </c>
      <c r="AK60" s="79">
        <f t="shared" ref="AK60:AK62" si="40">+AE60+AF60+AI60+AJ60</f>
        <v>23323.192951541849</v>
      </c>
      <c r="AL60" s="571">
        <f>'DATOS REFERENCIALES'!C16</f>
        <v>2022.3050000000001</v>
      </c>
      <c r="AM60" s="571">
        <f>AL60*$AM$52</f>
        <v>475.24167499999999</v>
      </c>
      <c r="AN60" s="571">
        <f>AL60-AM60</f>
        <v>1547.0633250000001</v>
      </c>
      <c r="AO60" s="571">
        <f>AK60+AN60</f>
        <v>24870.256276541848</v>
      </c>
      <c r="AP60" s="17"/>
      <c r="AQ60" s="17"/>
      <c r="AU60" s="8"/>
    </row>
    <row r="61" spans="1:47" s="1" customFormat="1" ht="21.75" customHeight="1" thickBot="1" x14ac:dyDescent="0.25">
      <c r="A61" s="59">
        <v>1549</v>
      </c>
      <c r="B61" s="165" t="s">
        <v>56</v>
      </c>
      <c r="C61" s="59">
        <v>0</v>
      </c>
      <c r="D61" s="59">
        <v>18</v>
      </c>
      <c r="E61" s="59"/>
      <c r="F61" s="59"/>
      <c r="G61" s="52">
        <v>1008</v>
      </c>
      <c r="H61" s="35">
        <f t="shared" si="31"/>
        <v>1008</v>
      </c>
      <c r="I61" s="35"/>
      <c r="J61" s="35"/>
      <c r="K61" s="89">
        <f>H61*'DATOS REFERENCIALES'!$C$4</f>
        <v>9672.5663999999997</v>
      </c>
      <c r="L61" s="89"/>
      <c r="M61" s="89"/>
      <c r="N61" s="79">
        <f>LOOKUP(C61,'TABLA ANTIG.'!$A$4:$A$39,'TABLA ANTIG.'!$B$4:$B$39)*(K61)</f>
        <v>0</v>
      </c>
      <c r="O61" s="27">
        <f t="shared" si="32"/>
        <v>967.25664000000006</v>
      </c>
      <c r="P61" s="115">
        <f>'DATOS REFERENCIALES'!$E$8*18</f>
        <v>6046.105263157895</v>
      </c>
      <c r="Q61" s="79">
        <f>LOOKUP(C61,'TABLA ANTIG.'!$A$4:$A$39,'TABLA ANTIG.'!$B$4:$B$39)*(P61)</f>
        <v>0</v>
      </c>
      <c r="R61" s="147">
        <v>0</v>
      </c>
      <c r="S61" s="545">
        <f>IF(C61&gt;11,IF(H61&gt;1134,'DATOS REFERENCIALES'!$C$18,'DATOS REFERENCIALES'!$C$18/20*D61),0)</f>
        <v>0</v>
      </c>
      <c r="T61" s="159">
        <f>K61+N61+O61+P61+Q61+R61+S61</f>
        <v>16685.928303157896</v>
      </c>
      <c r="U61" s="79">
        <f t="shared" si="33"/>
        <v>1835.4521133473686</v>
      </c>
      <c r="V61" s="79">
        <f t="shared" si="34"/>
        <v>500.57784909473685</v>
      </c>
      <c r="W61" s="79">
        <f t="shared" si="34"/>
        <v>500.57784909473685</v>
      </c>
      <c r="X61" s="79">
        <f t="shared" si="35"/>
        <v>333.71856606315794</v>
      </c>
      <c r="Y61" s="79">
        <f t="shared" si="36"/>
        <v>750.86677364210527</v>
      </c>
      <c r="Z61" s="27">
        <f t="shared" si="37"/>
        <v>3921.1931512421056</v>
      </c>
      <c r="AA61" s="79">
        <f t="shared" si="38"/>
        <v>12764.735151915791</v>
      </c>
      <c r="AB61" s="169">
        <f>'DATOS REFERENCIALES'!$E$10*18</f>
        <v>2150.5263157894738</v>
      </c>
      <c r="AC61" s="545">
        <f>IF(C61&lt;12,IF(H61&gt;1134,'DATOS REFERENCIALES'!$C$17,'DATOS REFERENCIALES'!$C$17/20*D61),0)</f>
        <v>2325.6</v>
      </c>
      <c r="AD61" s="80">
        <f>IF(D61&gt;41,IF((('DATOS REFERENCIALES'!$D$9)-((T61)+(AB61)+(AC61)))&lt;0,0,((('DATOS REFERENCIALES'!$D$9)-((T61)-(Z61)+(AB61)+(AC61))))),IF((('DATOS REFERENCIALES'!$E$9*D61)-(((T61)+(AB61)+(AC61))))&lt;0,0,('DATOS REFERENCIALES'!$E$9*D61)-((T61)-(Z61)+(AB61)+(AC61))))</f>
        <v>8443.3385322947361</v>
      </c>
      <c r="AE61" s="130">
        <f t="shared" si="39"/>
        <v>25684.2</v>
      </c>
      <c r="AF61" s="91">
        <f>'DATOS REFERENCIALES'!E13*18</f>
        <v>1452</v>
      </c>
      <c r="AG61" s="272"/>
      <c r="AH61" s="79" t="e">
        <f>IF(D61&gt;'DATOS REFERENCIALES'!#REF!,'DATOS REFERENCIALES'!#REF!,('DATOS REFERENCIALES'!#REF!*D61))</f>
        <v>#REF!</v>
      </c>
      <c r="AI61" s="79">
        <f>+AF61</f>
        <v>1452</v>
      </c>
      <c r="AJ61" s="79">
        <f>IF(D61&gt;'DATOS REFERENCIALES'!$I$12,'DATOS REFERENCIALES'!$D$12,'DATOS REFERENCIALES'!$E$12*D61)</f>
        <v>252</v>
      </c>
      <c r="AK61" s="79">
        <f t="shared" si="40"/>
        <v>28840.2</v>
      </c>
      <c r="AL61" s="569">
        <f>IF(D61&gt;'DATOS REFERENCIALES'!$I$16,'DATOS REFERENCIALES'!$D$16,'DATOS REFERENCIALES'!$E$16*D61)</f>
        <v>2426.7660000000001</v>
      </c>
      <c r="AM61" s="571">
        <f>AL61*$AM$52</f>
        <v>570.29000999999994</v>
      </c>
      <c r="AN61" s="571">
        <f>AL61-AM61</f>
        <v>1856.4759900000001</v>
      </c>
      <c r="AO61" s="571">
        <f>AK61+AN61</f>
        <v>30696.67599</v>
      </c>
      <c r="AP61" s="17"/>
      <c r="AQ61" s="17"/>
      <c r="AU61" s="8"/>
    </row>
    <row r="62" spans="1:47" s="1" customFormat="1" ht="21.75" customHeight="1" thickBot="1" x14ac:dyDescent="0.25">
      <c r="A62" s="60">
        <v>1550</v>
      </c>
      <c r="B62" s="166" t="s">
        <v>57</v>
      </c>
      <c r="C62" s="60">
        <v>0</v>
      </c>
      <c r="D62" s="60">
        <v>12</v>
      </c>
      <c r="E62" s="60"/>
      <c r="F62" s="60"/>
      <c r="G62" s="53">
        <v>672</v>
      </c>
      <c r="H62" s="57">
        <f t="shared" si="31"/>
        <v>672</v>
      </c>
      <c r="I62" s="57"/>
      <c r="J62" s="57"/>
      <c r="K62" s="90">
        <f>H62*'DATOS REFERENCIALES'!$C$4</f>
        <v>6448.3776000000007</v>
      </c>
      <c r="L62" s="90"/>
      <c r="M62" s="90"/>
      <c r="N62" s="80">
        <f>LOOKUP(C62,'TABLA ANTIG.'!$A$4:$A$39,'TABLA ANTIG.'!$B$4:$B$39)*(K62)</f>
        <v>0</v>
      </c>
      <c r="O62" s="28">
        <f t="shared" si="32"/>
        <v>644.83776000000012</v>
      </c>
      <c r="P62" s="116">
        <f>'DATOS REFERENCIALES'!$E$8*12</f>
        <v>4030.7368421052633</v>
      </c>
      <c r="Q62" s="80">
        <f>LOOKUP(C62,'TABLA ANTIG.'!$A$4:$A$39,'TABLA ANTIG.'!$B$4:$B$39)*(P62)</f>
        <v>0</v>
      </c>
      <c r="R62" s="150">
        <v>0</v>
      </c>
      <c r="S62" s="551">
        <f>IF(C62&gt;11,IF(H62&gt;1134,'DATOS REFERENCIALES'!$C$18,'DATOS REFERENCIALES'!$C$18/20*D62),0)</f>
        <v>0</v>
      </c>
      <c r="T62" s="206">
        <f>K62+N62+O62+P62+Q62+R62+S62</f>
        <v>11123.952202105265</v>
      </c>
      <c r="U62" s="80">
        <f t="shared" si="33"/>
        <v>1223.6347422315791</v>
      </c>
      <c r="V62" s="80">
        <f t="shared" si="34"/>
        <v>333.71856606315794</v>
      </c>
      <c r="W62" s="80">
        <f t="shared" si="34"/>
        <v>333.71856606315794</v>
      </c>
      <c r="X62" s="80">
        <f t="shared" si="35"/>
        <v>222.4790440421053</v>
      </c>
      <c r="Y62" s="80">
        <f t="shared" si="36"/>
        <v>500.57784909473691</v>
      </c>
      <c r="Z62" s="28">
        <f t="shared" si="37"/>
        <v>2614.1287674947371</v>
      </c>
      <c r="AA62" s="80">
        <f t="shared" si="38"/>
        <v>8509.8234346105273</v>
      </c>
      <c r="AB62" s="171">
        <f>'DATOS REFERENCIALES'!$E$10*12</f>
        <v>1433.6842105263158</v>
      </c>
      <c r="AC62" s="551">
        <f>IF(C62&lt;12,IF(H62&gt;1134,'DATOS REFERENCIALES'!$C$17,'DATOS REFERENCIALES'!$C$17/20*D62),0)</f>
        <v>1550.3999999999999</v>
      </c>
      <c r="AD62" s="80">
        <f>IF(D62&gt;41,IF((('DATOS REFERENCIALES'!$D$9)-((T62)+(AB62)+(AC62)))&lt;0,0,((('DATOS REFERENCIALES'!$D$9)-((T62)-(Z62)+(AB62)+(AC62))))),IF((('DATOS REFERENCIALES'!$E$9*D62)-(((T62)+(AB62)+(AC62))))&lt;0,0,('DATOS REFERENCIALES'!$E$9*D62)-((T62)-(Z62)+(AB62)+(AC62))))</f>
        <v>5628.8923548631592</v>
      </c>
      <c r="AE62" s="131">
        <f t="shared" si="39"/>
        <v>17122.800000000003</v>
      </c>
      <c r="AF62" s="92">
        <f>'DATOS REFERENCIALES'!E13*12</f>
        <v>968</v>
      </c>
      <c r="AG62" s="270"/>
      <c r="AH62" s="80" t="e">
        <f>IF(D62&gt;'DATOS REFERENCIALES'!#REF!,'DATOS REFERENCIALES'!#REF!,('DATOS REFERENCIALES'!#REF!*D62))</f>
        <v>#REF!</v>
      </c>
      <c r="AI62" s="80">
        <f>+AF62</f>
        <v>968</v>
      </c>
      <c r="AJ62" s="80">
        <f>IF(D62&gt;'DATOS REFERENCIALES'!$I$12,'DATOS REFERENCIALES'!$D$12,'DATOS REFERENCIALES'!$E$12*D62)</f>
        <v>168</v>
      </c>
      <c r="AK62" s="80">
        <f t="shared" si="40"/>
        <v>19226.800000000003</v>
      </c>
      <c r="AL62" s="570">
        <f>IF(D62&gt;'DATOS REFERENCIALES'!$I$16,'DATOS REFERENCIALES'!$D$16,'DATOS REFERENCIALES'!$E$16*D62)</f>
        <v>1617.8440000000001</v>
      </c>
      <c r="AM62" s="563">
        <f>AL62*$AM$52</f>
        <v>380.19333999999998</v>
      </c>
      <c r="AN62" s="563">
        <f>AL62-AM62</f>
        <v>1237.65066</v>
      </c>
      <c r="AO62" s="563">
        <f>AK62+AN62</f>
        <v>20464.450660000002</v>
      </c>
      <c r="AP62" s="17"/>
      <c r="AQ62" s="17"/>
      <c r="AU62" s="8"/>
    </row>
    <row r="63" spans="1:47" s="1" customFormat="1" ht="21.75" customHeight="1" x14ac:dyDescent="0.2">
      <c r="A63" s="123"/>
      <c r="B63" s="124"/>
      <c r="C63" s="125"/>
      <c r="D63" s="125"/>
      <c r="E63" s="125"/>
      <c r="F63" s="125"/>
      <c r="G63" s="67"/>
      <c r="H63" s="44"/>
      <c r="I63" s="44"/>
      <c r="J63" s="44"/>
      <c r="K63" s="41"/>
      <c r="L63" s="41"/>
      <c r="M63" s="41"/>
      <c r="N63" s="42"/>
      <c r="O63" s="73"/>
      <c r="P63" s="128"/>
      <c r="Q63" s="42"/>
      <c r="R63" s="126"/>
      <c r="S63" s="126"/>
      <c r="T63" s="73"/>
      <c r="U63" s="126"/>
      <c r="V63" s="126"/>
      <c r="W63" s="126"/>
      <c r="X63" s="42"/>
      <c r="Y63" s="42"/>
      <c r="Z63" s="73"/>
      <c r="AA63" s="45"/>
      <c r="AB63" s="129"/>
      <c r="AC63" s="129"/>
      <c r="AD63" s="45"/>
      <c r="AE63" s="45"/>
      <c r="AF63" s="47"/>
      <c r="AG63" s="47"/>
      <c r="AH63" s="45"/>
      <c r="AI63" s="45"/>
      <c r="AJ63" s="45"/>
      <c r="AK63" s="45"/>
      <c r="AL63" s="13"/>
      <c r="AM63" s="13"/>
      <c r="AN63" s="13"/>
      <c r="AO63" s="16"/>
      <c r="AP63" s="17"/>
      <c r="AQ63" s="17"/>
      <c r="AU63" s="8"/>
    </row>
  </sheetData>
  <mergeCells count="151">
    <mergeCell ref="E9:E10"/>
    <mergeCell ref="P32:P33"/>
    <mergeCell ref="O32:O33"/>
    <mergeCell ref="N9:N10"/>
    <mergeCell ref="K9:K10"/>
    <mergeCell ref="L9:L10"/>
    <mergeCell ref="J9:J10"/>
    <mergeCell ref="Q32:Q33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P53:P54"/>
    <mergeCell ref="I53:I54"/>
    <mergeCell ref="J53:J54"/>
    <mergeCell ref="O53:O54"/>
    <mergeCell ref="L53:L54"/>
    <mergeCell ref="M53:M54"/>
    <mergeCell ref="N53:N54"/>
    <mergeCell ref="T53:T54"/>
    <mergeCell ref="Z53:Z54"/>
    <mergeCell ref="AA53:AA54"/>
    <mergeCell ref="Q53:Q54"/>
    <mergeCell ref="AD53:AD54"/>
    <mergeCell ref="R53:R54"/>
    <mergeCell ref="U53:Y53"/>
    <mergeCell ref="S53:S54"/>
    <mergeCell ref="U32:Y32"/>
    <mergeCell ref="R32:R33"/>
    <mergeCell ref="S32:S33"/>
    <mergeCell ref="T32:T33"/>
    <mergeCell ref="AH53:AH54"/>
    <mergeCell ref="AE53:AE54"/>
    <mergeCell ref="AF53:AF54"/>
    <mergeCell ref="AF32:AF33"/>
    <mergeCell ref="AK32:AK33"/>
    <mergeCell ref="AK34:AK35"/>
    <mergeCell ref="AK36:AK37"/>
    <mergeCell ref="AK38:AK39"/>
    <mergeCell ref="AB53:AB54"/>
    <mergeCell ref="AI53:AI54"/>
    <mergeCell ref="AC53:AC54"/>
    <mergeCell ref="AK55:AK56"/>
    <mergeCell ref="AK57:AK58"/>
    <mergeCell ref="AK53:AK54"/>
    <mergeCell ref="AJ53:AJ54"/>
    <mergeCell ref="AG53:AG54"/>
    <mergeCell ref="A6:AK6"/>
    <mergeCell ref="K3:AA5"/>
    <mergeCell ref="A7:AF7"/>
    <mergeCell ref="H9:H10"/>
    <mergeCell ref="AB9:AB10"/>
    <mergeCell ref="A8:AK8"/>
    <mergeCell ref="AK9:AK10"/>
    <mergeCell ref="A9:A10"/>
    <mergeCell ref="AD9:AD10"/>
    <mergeCell ref="AE9:AE10"/>
    <mergeCell ref="G9:G10"/>
    <mergeCell ref="U9:Y9"/>
    <mergeCell ref="P9:P10"/>
    <mergeCell ref="M9:M10"/>
    <mergeCell ref="I9:I10"/>
    <mergeCell ref="AF9:AF10"/>
    <mergeCell ref="AG9:AG10"/>
    <mergeCell ref="B9:B10"/>
    <mergeCell ref="AH9:AH10"/>
    <mergeCell ref="D9:D10"/>
    <mergeCell ref="C9:C10"/>
    <mergeCell ref="Z9:Z10"/>
    <mergeCell ref="O9:O10"/>
    <mergeCell ref="A32:A33"/>
    <mergeCell ref="AE32:AE33"/>
    <mergeCell ref="AD32:AD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E31:AK31"/>
    <mergeCell ref="AH32:AH33"/>
    <mergeCell ref="S9:S10"/>
    <mergeCell ref="E32:E33"/>
    <mergeCell ref="G32:G33"/>
    <mergeCell ref="H32:H33"/>
    <mergeCell ref="I32:I33"/>
    <mergeCell ref="F9:F10"/>
    <mergeCell ref="AA9:AA10"/>
    <mergeCell ref="R9:R10"/>
    <mergeCell ref="Q9:Q10"/>
    <mergeCell ref="T9:T10"/>
    <mergeCell ref="AG32:AG33"/>
    <mergeCell ref="Z32:Z33"/>
    <mergeCell ref="AB32:AB33"/>
    <mergeCell ref="AA32:AA33"/>
    <mergeCell ref="AK12:AK13"/>
    <mergeCell ref="AK14:AK15"/>
    <mergeCell ref="AJ9:AJ10"/>
    <mergeCell ref="AJ32:AJ33"/>
    <mergeCell ref="AC9:AC10"/>
    <mergeCell ref="AI9:AI10"/>
    <mergeCell ref="AC32:AC33"/>
    <mergeCell ref="AI32:AI33"/>
    <mergeCell ref="AN53:AN54"/>
    <mergeCell ref="AL36:AL37"/>
    <mergeCell ref="AM36:AM37"/>
    <mergeCell ref="AN36:AN37"/>
    <mergeCell ref="AN9:AN10"/>
    <mergeCell ref="AL32:AL33"/>
    <mergeCell ref="AM32:AM33"/>
    <mergeCell ref="AN32:AN33"/>
    <mergeCell ref="AM14:AM15"/>
    <mergeCell ref="AM12:AM13"/>
    <mergeCell ref="AN12:AN13"/>
    <mergeCell ref="AN14:AN15"/>
    <mergeCell ref="AN34:AN35"/>
    <mergeCell ref="AN38:AN39"/>
    <mergeCell ref="AL9:AL10"/>
    <mergeCell ref="AM9:AM10"/>
    <mergeCell ref="AL57:AL58"/>
    <mergeCell ref="AM57:AM58"/>
    <mergeCell ref="AN57:AN58"/>
    <mergeCell ref="AO57:AO58"/>
    <mergeCell ref="AO36:AO37"/>
    <mergeCell ref="AO38:AO39"/>
    <mergeCell ref="AL55:AL56"/>
    <mergeCell ref="AO34:AO35"/>
    <mergeCell ref="AO9:AO10"/>
    <mergeCell ref="AO32:AO33"/>
    <mergeCell ref="AO53:AO54"/>
    <mergeCell ref="AL12:AL13"/>
    <mergeCell ref="AM55:AM56"/>
    <mergeCell ref="AN55:AN56"/>
    <mergeCell ref="AO55:AO56"/>
    <mergeCell ref="AO12:AO13"/>
    <mergeCell ref="AL14:AL15"/>
    <mergeCell ref="AO14:AO15"/>
    <mergeCell ref="AL34:AL35"/>
    <mergeCell ref="AM34:AM35"/>
    <mergeCell ref="AL38:AL39"/>
    <mergeCell ref="AM38:AM39"/>
    <mergeCell ref="AL53:AL54"/>
    <mergeCell ref="AM53:AM54"/>
  </mergeCells>
  <dataValidations disablePrompts="1" count="2">
    <dataValidation type="list" allowBlank="1" showInputMessage="1" showErrorMessage="1" sqref="J13">
      <formula1>$C$30:$C$37</formula1>
    </dataValidation>
    <dataValidation type="list" allowBlank="1" showInputMessage="1" showErrorMessage="1" sqref="J56">
      <formula1>$C$30:$C$37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'DATOS REFERENCIALES'!$C$31:$C$38</xm:f>
          </x14:formula1>
          <xm:sqref>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6"/>
  <sheetViews>
    <sheetView topLeftCell="A3" zoomScale="66" zoomScaleNormal="66" workbookViewId="0">
      <selection activeCell="B12" sqref="B12"/>
    </sheetView>
  </sheetViews>
  <sheetFormatPr baseColWidth="10" defaultRowHeight="12.75" x14ac:dyDescent="0.2"/>
  <cols>
    <col min="2" max="2" width="57.140625" bestFit="1" customWidth="1"/>
    <col min="5" max="5" width="12.7109375" hidden="1" customWidth="1"/>
    <col min="6" max="7" width="0" hidden="1" customWidth="1"/>
    <col min="8" max="8" width="11.42578125" customWidth="1"/>
    <col min="9" max="10" width="14" customWidth="1"/>
    <col min="11" max="13" width="14.7109375" customWidth="1"/>
    <col min="14" max="14" width="17" customWidth="1"/>
    <col min="15" max="15" width="18.5703125" customWidth="1"/>
    <col min="16" max="16" width="14.42578125" customWidth="1"/>
    <col min="17" max="17" width="17" customWidth="1"/>
    <col min="18" max="18" width="0" hidden="1" customWidth="1"/>
    <col min="19" max="19" width="16.140625" customWidth="1"/>
    <col min="20" max="20" width="15.28515625" customWidth="1"/>
    <col min="21" max="21" width="14.5703125" customWidth="1"/>
    <col min="22" max="22" width="13.28515625" customWidth="1"/>
    <col min="23" max="23" width="13" customWidth="1"/>
    <col min="24" max="24" width="12.5703125" customWidth="1"/>
    <col min="25" max="25" width="14.7109375" customWidth="1"/>
    <col min="26" max="26" width="15" customWidth="1"/>
    <col min="27" max="27" width="16.7109375" customWidth="1"/>
    <col min="28" max="28" width="13.5703125" customWidth="1"/>
    <col min="29" max="29" width="19" customWidth="1"/>
    <col min="30" max="30" width="15.140625" customWidth="1"/>
    <col min="31" max="32" width="14.85546875" bestFit="1" customWidth="1"/>
    <col min="33" max="33" width="15" hidden="1" customWidth="1"/>
    <col min="34" max="35" width="15" customWidth="1"/>
    <col min="36" max="36" width="15.140625" bestFit="1" customWidth="1"/>
    <col min="37" max="37" width="13.5703125" customWidth="1"/>
    <col min="38" max="38" width="11.85546875" bestFit="1" customWidth="1"/>
    <col min="39" max="39" width="13.28515625" bestFit="1" customWidth="1"/>
    <col min="40" max="40" width="15" customWidth="1"/>
  </cols>
  <sheetData>
    <row r="1" spans="1:46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8"/>
      <c r="AD1" s="13"/>
      <c r="AE1" s="13"/>
      <c r="AF1" s="13"/>
      <c r="AG1" s="13"/>
      <c r="AH1" s="608"/>
      <c r="AI1" s="13"/>
      <c r="AJ1" s="13"/>
    </row>
    <row r="2" spans="1:46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8"/>
      <c r="AD2" s="13"/>
      <c r="AE2" s="13"/>
      <c r="AF2" s="13"/>
      <c r="AG2" s="13"/>
      <c r="AH2" s="608"/>
      <c r="AI2" s="13"/>
      <c r="AJ2" s="13"/>
    </row>
    <row r="3" spans="1:46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702" t="s">
        <v>82</v>
      </c>
      <c r="L3" s="702"/>
      <c r="M3" s="702"/>
      <c r="N3" s="702"/>
      <c r="O3" s="702"/>
      <c r="P3" s="702"/>
      <c r="Q3" s="702"/>
      <c r="R3" s="702"/>
      <c r="S3" s="702"/>
      <c r="T3" s="702"/>
      <c r="U3" s="702"/>
      <c r="V3" s="702"/>
      <c r="W3" s="702"/>
      <c r="X3" s="702"/>
      <c r="Y3" s="702"/>
      <c r="Z3" s="702"/>
      <c r="AA3" s="702"/>
      <c r="AB3" s="13"/>
      <c r="AC3" s="608"/>
      <c r="AD3" s="13"/>
      <c r="AE3" s="13"/>
      <c r="AF3" s="13"/>
      <c r="AG3" s="13"/>
      <c r="AH3" s="608"/>
      <c r="AI3" s="13"/>
      <c r="AJ3" s="13"/>
    </row>
    <row r="4" spans="1:46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13"/>
      <c r="AC4" s="608"/>
      <c r="AD4" s="13"/>
      <c r="AE4" s="13"/>
      <c r="AF4" s="13"/>
      <c r="AG4" s="13"/>
      <c r="AH4" s="608"/>
      <c r="AI4" s="13"/>
      <c r="AJ4" s="13"/>
    </row>
    <row r="5" spans="1:46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13"/>
      <c r="AC5" s="608"/>
      <c r="AD5" s="13"/>
      <c r="AE5" s="13"/>
      <c r="AF5" s="13"/>
      <c r="AG5" s="13"/>
      <c r="AH5" s="608"/>
      <c r="AI5" s="13"/>
      <c r="AJ5" s="13"/>
    </row>
    <row r="6" spans="1:46" s="1" customFormat="1" ht="27.75" x14ac:dyDescent="0.4">
      <c r="A6" s="703" t="s">
        <v>199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</row>
    <row r="7" spans="1:46" s="1" customFormat="1" ht="18.75" thickBot="1" x14ac:dyDescent="0.3">
      <c r="A7" s="774" t="s">
        <v>83</v>
      </c>
      <c r="B7" s="775"/>
      <c r="C7" s="775"/>
      <c r="D7" s="775"/>
      <c r="E7" s="775"/>
      <c r="F7" s="775"/>
      <c r="G7" s="775"/>
      <c r="H7" s="775"/>
      <c r="I7" s="775"/>
      <c r="J7" s="775"/>
      <c r="K7" s="775"/>
      <c r="L7" s="775"/>
      <c r="M7" s="775"/>
      <c r="N7" s="775"/>
      <c r="O7" s="775"/>
      <c r="P7" s="775"/>
      <c r="Q7" s="775"/>
      <c r="R7" s="775"/>
      <c r="S7" s="775"/>
      <c r="T7" s="775"/>
      <c r="U7" s="775"/>
      <c r="V7" s="775"/>
      <c r="W7" s="775"/>
      <c r="X7" s="775"/>
      <c r="Y7" s="775"/>
      <c r="Z7" s="775"/>
      <c r="AA7" s="775"/>
      <c r="AB7" s="775"/>
      <c r="AC7" s="775"/>
      <c r="AD7" s="775"/>
      <c r="AE7" s="775"/>
      <c r="AF7" s="775"/>
      <c r="AG7" s="775"/>
      <c r="AH7" s="775"/>
      <c r="AI7" s="775"/>
      <c r="AJ7" s="775"/>
    </row>
    <row r="8" spans="1:46" s="1" customFormat="1" ht="21" thickBot="1" x14ac:dyDescent="0.35">
      <c r="A8" s="94" t="s">
        <v>135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4" t="s">
        <v>135</v>
      </c>
      <c r="AG8" s="95"/>
      <c r="AH8" s="95"/>
      <c r="AI8" s="95"/>
      <c r="AJ8" s="95"/>
      <c r="AK8" s="13"/>
      <c r="AL8" s="574">
        <v>0.23499999999999999</v>
      </c>
      <c r="AM8" s="13"/>
      <c r="AN8" s="16"/>
      <c r="AO8" s="17"/>
      <c r="AP8" s="17"/>
    </row>
    <row r="9" spans="1:46" s="2" customFormat="1" ht="12.75" customHeight="1" thickBot="1" x14ac:dyDescent="0.25">
      <c r="A9" s="726" t="s">
        <v>1</v>
      </c>
      <c r="B9" s="726" t="s">
        <v>0</v>
      </c>
      <c r="C9" s="658" t="s">
        <v>77</v>
      </c>
      <c r="D9" s="658" t="s">
        <v>119</v>
      </c>
      <c r="E9" s="658" t="s">
        <v>127</v>
      </c>
      <c r="F9" s="658" t="s">
        <v>113</v>
      </c>
      <c r="G9" s="658" t="s">
        <v>102</v>
      </c>
      <c r="H9" s="658" t="s">
        <v>79</v>
      </c>
      <c r="I9" s="658" t="s">
        <v>147</v>
      </c>
      <c r="J9" s="684" t="s">
        <v>146</v>
      </c>
      <c r="K9" s="697" t="s">
        <v>121</v>
      </c>
      <c r="L9" s="697" t="s">
        <v>145</v>
      </c>
      <c r="M9" s="697" t="s">
        <v>146</v>
      </c>
      <c r="N9" s="686" t="s">
        <v>85</v>
      </c>
      <c r="O9" s="686" t="s">
        <v>120</v>
      </c>
      <c r="P9" s="697" t="s">
        <v>86</v>
      </c>
      <c r="Q9" s="686" t="s">
        <v>101</v>
      </c>
      <c r="R9" s="686" t="s">
        <v>84</v>
      </c>
      <c r="S9" s="658" t="s">
        <v>209</v>
      </c>
      <c r="T9" s="686" t="s">
        <v>69</v>
      </c>
      <c r="U9" s="721" t="s">
        <v>59</v>
      </c>
      <c r="V9" s="722"/>
      <c r="W9" s="722"/>
      <c r="X9" s="722"/>
      <c r="Y9" s="722"/>
      <c r="Z9" s="696" t="s">
        <v>68</v>
      </c>
      <c r="AA9" s="658" t="s">
        <v>89</v>
      </c>
      <c r="AB9" s="658" t="s">
        <v>88</v>
      </c>
      <c r="AC9" s="658" t="s">
        <v>208</v>
      </c>
      <c r="AD9" s="658" t="s">
        <v>87</v>
      </c>
      <c r="AE9" s="658" t="s">
        <v>91</v>
      </c>
      <c r="AF9" s="658" t="s">
        <v>90</v>
      </c>
      <c r="AG9" s="658" t="s">
        <v>190</v>
      </c>
      <c r="AH9" s="658" t="s">
        <v>196</v>
      </c>
      <c r="AI9" s="696" t="s">
        <v>174</v>
      </c>
      <c r="AJ9" s="658" t="s">
        <v>92</v>
      </c>
      <c r="AK9" s="658" t="s">
        <v>186</v>
      </c>
      <c r="AL9" s="682" t="s">
        <v>68</v>
      </c>
      <c r="AM9" s="658" t="s">
        <v>188</v>
      </c>
      <c r="AN9" s="658" t="s">
        <v>189</v>
      </c>
      <c r="AO9" s="17"/>
      <c r="AP9" s="17"/>
    </row>
    <row r="10" spans="1:46" s="2" customFormat="1" ht="89.25" customHeight="1" thickBot="1" x14ac:dyDescent="0.25">
      <c r="A10" s="727"/>
      <c r="B10" s="727"/>
      <c r="C10" s="679"/>
      <c r="D10" s="679"/>
      <c r="E10" s="679"/>
      <c r="F10" s="679"/>
      <c r="G10" s="679"/>
      <c r="H10" s="679"/>
      <c r="I10" s="679"/>
      <c r="J10" s="685"/>
      <c r="K10" s="698"/>
      <c r="L10" s="698"/>
      <c r="M10" s="698"/>
      <c r="N10" s="687"/>
      <c r="O10" s="687"/>
      <c r="P10" s="698"/>
      <c r="Q10" s="687"/>
      <c r="R10" s="687"/>
      <c r="S10" s="679"/>
      <c r="T10" s="687"/>
      <c r="U10" s="77" t="s">
        <v>140</v>
      </c>
      <c r="V10" s="104" t="s">
        <v>61</v>
      </c>
      <c r="W10" s="104" t="s">
        <v>62</v>
      </c>
      <c r="X10" s="104" t="s">
        <v>63</v>
      </c>
      <c r="Y10" s="104" t="s">
        <v>64</v>
      </c>
      <c r="Z10" s="720"/>
      <c r="AA10" s="679"/>
      <c r="AB10" s="679"/>
      <c r="AC10" s="659"/>
      <c r="AD10" s="679"/>
      <c r="AE10" s="679"/>
      <c r="AF10" s="679"/>
      <c r="AG10" s="679"/>
      <c r="AH10" s="679"/>
      <c r="AI10" s="679"/>
      <c r="AJ10" s="679"/>
      <c r="AK10" s="679"/>
      <c r="AL10" s="683"/>
      <c r="AM10" s="679"/>
      <c r="AN10" s="679"/>
      <c r="AO10" s="17"/>
      <c r="AP10" s="17"/>
    </row>
    <row r="11" spans="1:46" s="1" customFormat="1" ht="21.75" customHeight="1" x14ac:dyDescent="0.2">
      <c r="A11" s="365">
        <v>3509</v>
      </c>
      <c r="B11" s="406" t="s">
        <v>23</v>
      </c>
      <c r="C11" s="337">
        <v>0</v>
      </c>
      <c r="D11" s="337"/>
      <c r="E11" s="337"/>
      <c r="F11" s="337"/>
      <c r="G11" s="407">
        <v>3422</v>
      </c>
      <c r="H11" s="337">
        <f t="shared" ref="H11:H24" si="0">SUM(G11:G11)</f>
        <v>3422</v>
      </c>
      <c r="I11" s="337"/>
      <c r="J11" s="337"/>
      <c r="K11" s="342">
        <f>H11*'DATOS REFERENCIALES'!$C$4</f>
        <v>32836.827600000004</v>
      </c>
      <c r="L11" s="342"/>
      <c r="M11" s="342"/>
      <c r="N11" s="344">
        <f>LOOKUP(C11,'TABLA ANTIG.'!$A$4:$A$39,'TABLA ANTIG.'!$B$4:$B$39)*(K11)</f>
        <v>0</v>
      </c>
      <c r="O11" s="347">
        <f t="shared" ref="O11:O24" si="1">K11*0.1</f>
        <v>3283.6827600000006</v>
      </c>
      <c r="P11" s="342">
        <f>'DATOS REFERENCIALES'!$C$8</f>
        <v>6382</v>
      </c>
      <c r="Q11" s="348">
        <f>LOOKUP(C11,'TABLA ANTIG.'!$A$4:$A$39,'TABLA ANTIG.'!$B$4:$B$39)*(P11)</f>
        <v>0</v>
      </c>
      <c r="R11" s="344">
        <v>0</v>
      </c>
      <c r="S11" s="344">
        <f>IF(C11&gt;11,IF(H11&gt;1134,'DATOS REFERENCIALES'!$C$18,'DATOS REFERENCIALES'!$C$18/1135*H11),0)</f>
        <v>0</v>
      </c>
      <c r="T11" s="344">
        <f>K11+N11+O11+P11+Q11+R11+S11</f>
        <v>42502.510360000007</v>
      </c>
      <c r="U11" s="344">
        <f t="shared" ref="U11:U24" si="2">$T11*11%</f>
        <v>4675.2761396000005</v>
      </c>
      <c r="V11" s="344">
        <f t="shared" ref="V11:W24" si="3">$T11*3%</f>
        <v>1275.0753108000001</v>
      </c>
      <c r="W11" s="344">
        <f t="shared" si="3"/>
        <v>1275.0753108000001</v>
      </c>
      <c r="X11" s="344">
        <f t="shared" ref="X11:X24" si="4">$T11*2%</f>
        <v>850.05020720000016</v>
      </c>
      <c r="Y11" s="344">
        <f t="shared" ref="Y11:Y24" si="5">$T11*4.5%</f>
        <v>1912.6129662000003</v>
      </c>
      <c r="Z11" s="344">
        <f t="shared" ref="Z11:Z24" si="6">SUM(U11:Y11)</f>
        <v>9988.0899346000006</v>
      </c>
      <c r="AA11" s="344">
        <f t="shared" ref="AA11:AA24" si="7">T11-Z11</f>
        <v>32514.420425400007</v>
      </c>
      <c r="AB11" s="347">
        <f>'DATOS REFERENCIALES'!$C$10</f>
        <v>2270</v>
      </c>
      <c r="AC11" s="347">
        <f>IF(C11&lt;12,IF(H11&gt;1134,'DATOS REFERENCIALES'!$C$17,'DATOS REFERENCIALES'!$C$17/1135*H11),0)</f>
        <v>2584</v>
      </c>
      <c r="AD11" s="344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0</v>
      </c>
      <c r="AE11" s="348">
        <f t="shared" ref="AE11:AE24" si="8">SUM(AA11:AD11)</f>
        <v>37368.420425400007</v>
      </c>
      <c r="AF11" s="349">
        <f>'DATOS REFERENCIALES'!$C$13</f>
        <v>1210</v>
      </c>
      <c r="AG11" s="370" t="e">
        <f>IF($H11&gt;1119,'DATOS REFERENCIALES'!#REF!,'DATOS REFERENCIALES'!#REF!/1120*$H11)</f>
        <v>#REF!</v>
      </c>
      <c r="AH11" s="370">
        <f>+AF11</f>
        <v>1210</v>
      </c>
      <c r="AI11" s="344">
        <f>'DATOS REFERENCIALES'!$C$12</f>
        <v>210</v>
      </c>
      <c r="AJ11" s="676">
        <f>+AE11+AE12+AF11+AH11+AI11</f>
        <v>47597.272792385003</v>
      </c>
      <c r="AK11" s="753">
        <f>'DATOS REFERENCIALES'!$C$16</f>
        <v>2022.3050000000001</v>
      </c>
      <c r="AL11" s="753">
        <f>AK11*$AL$8</f>
        <v>475.24167499999999</v>
      </c>
      <c r="AM11" s="753">
        <f>AK11-AL11</f>
        <v>1547.0633250000001</v>
      </c>
      <c r="AN11" s="751">
        <f>AJ11+AM11</f>
        <v>49144.336117385006</v>
      </c>
      <c r="AO11" s="17"/>
      <c r="AP11" s="17"/>
      <c r="AT11" s="8"/>
    </row>
    <row r="12" spans="1:46" s="1" customFormat="1" ht="26.25" customHeight="1" thickBot="1" x14ac:dyDescent="0.25">
      <c r="A12" s="514">
        <v>3509</v>
      </c>
      <c r="B12" s="515" t="s">
        <v>23</v>
      </c>
      <c r="C12" s="507">
        <f>IF(C11&gt;0,C11,0)</f>
        <v>0</v>
      </c>
      <c r="D12" s="507"/>
      <c r="E12" s="507"/>
      <c r="F12" s="507"/>
      <c r="G12" s="506"/>
      <c r="H12" s="507"/>
      <c r="I12" s="352">
        <f>256.65/'DATOS REFERENCIALES'!$I$4*'DATOS REFERENCIALES'!$J$4</f>
        <v>427.75</v>
      </c>
      <c r="J12" s="430">
        <v>0.15</v>
      </c>
      <c r="K12" s="357"/>
      <c r="L12" s="357">
        <f>I12*'DATOS REFERENCIALES'!$C$4</f>
        <v>4104.6034500000005</v>
      </c>
      <c r="M12" s="357">
        <f>K11*J12</f>
        <v>4925.5241400000004</v>
      </c>
      <c r="N12" s="359">
        <f>LOOKUP(C12,'TABLA ANTIG.'!$A$4:$A$39,'TABLA ANTIG.'!$B$4:$B$39)*(L12+M12)</f>
        <v>0</v>
      </c>
      <c r="O12" s="359">
        <f>(L12+M12)*0.1</f>
        <v>903.01275900000007</v>
      </c>
      <c r="P12" s="357"/>
      <c r="Q12" s="359"/>
      <c r="R12" s="358"/>
      <c r="S12" s="359"/>
      <c r="T12" s="359">
        <f>L12+M12+N12+O12+P12+Q12+R12</f>
        <v>9933.1403489999993</v>
      </c>
      <c r="U12" s="362">
        <f t="shared" si="2"/>
        <v>1092.64543839</v>
      </c>
      <c r="V12" s="359">
        <f t="shared" si="3"/>
        <v>297.99421046999998</v>
      </c>
      <c r="W12" s="362">
        <f t="shared" si="3"/>
        <v>297.99421046999998</v>
      </c>
      <c r="X12" s="359">
        <f>$T12*2%</f>
        <v>198.66280698</v>
      </c>
      <c r="Y12" s="359">
        <f t="shared" si="5"/>
        <v>446.99131570499998</v>
      </c>
      <c r="Z12" s="359">
        <f t="shared" si="6"/>
        <v>2334.2879820149997</v>
      </c>
      <c r="AA12" s="363">
        <f t="shared" si="7"/>
        <v>7598.8523669850001</v>
      </c>
      <c r="AB12" s="359"/>
      <c r="AC12" s="362"/>
      <c r="AD12" s="359"/>
      <c r="AE12" s="358">
        <f t="shared" si="8"/>
        <v>7598.8523669850001</v>
      </c>
      <c r="AF12" s="364"/>
      <c r="AG12" s="376"/>
      <c r="AH12" s="376"/>
      <c r="AI12" s="359"/>
      <c r="AJ12" s="677"/>
      <c r="AK12" s="754"/>
      <c r="AL12" s="754"/>
      <c r="AM12" s="754"/>
      <c r="AN12" s="752"/>
      <c r="AO12" s="17"/>
      <c r="AP12" s="17"/>
      <c r="AT12" s="8"/>
    </row>
    <row r="13" spans="1:46" s="1" customFormat="1" ht="21.75" customHeight="1" x14ac:dyDescent="0.2">
      <c r="A13" s="395">
        <v>3510</v>
      </c>
      <c r="B13" s="275" t="s">
        <v>38</v>
      </c>
      <c r="C13" s="276">
        <v>0</v>
      </c>
      <c r="D13" s="276"/>
      <c r="E13" s="276"/>
      <c r="F13" s="276"/>
      <c r="G13" s="277">
        <v>2874</v>
      </c>
      <c r="H13" s="276">
        <f t="shared" si="0"/>
        <v>2874</v>
      </c>
      <c r="I13" s="276"/>
      <c r="J13" s="276"/>
      <c r="K13" s="278">
        <f>H13*'DATOS REFERENCIALES'!$C$4</f>
        <v>27578.3292</v>
      </c>
      <c r="L13" s="278"/>
      <c r="M13" s="278"/>
      <c r="N13" s="280">
        <f>LOOKUP(C13,'TABLA ANTIG.'!$A$4:$A$39,'TABLA ANTIG.'!$B$4:$B$39)*(K13)</f>
        <v>0</v>
      </c>
      <c r="O13" s="283">
        <f t="shared" si="1"/>
        <v>2757.8329200000003</v>
      </c>
      <c r="P13" s="278">
        <f>'DATOS REFERENCIALES'!$C$8</f>
        <v>6382</v>
      </c>
      <c r="Q13" s="282">
        <f>LOOKUP(C13,'TABLA ANTIG.'!$A$4:$A$39,'TABLA ANTIG.'!$B$4:$B$39)*(P13)</f>
        <v>0</v>
      </c>
      <c r="R13" s="280">
        <v>0</v>
      </c>
      <c r="S13" s="280">
        <f>IF(C13&gt;11,IF(H13&gt;1134,'DATOS REFERENCIALES'!$C$18,'DATOS REFERENCIALES'!$C$18/1135*H13),0)</f>
        <v>0</v>
      </c>
      <c r="T13" s="280">
        <f>K13+N13+O13+P13+Q13+R13+S13</f>
        <v>36718.162120000001</v>
      </c>
      <c r="U13" s="280">
        <f t="shared" si="2"/>
        <v>4038.9978332000001</v>
      </c>
      <c r="V13" s="280">
        <f t="shared" si="3"/>
        <v>1101.5448636000001</v>
      </c>
      <c r="W13" s="280">
        <f t="shared" si="3"/>
        <v>1101.5448636000001</v>
      </c>
      <c r="X13" s="280">
        <f t="shared" si="4"/>
        <v>734.36324239999999</v>
      </c>
      <c r="Y13" s="280">
        <f t="shared" si="5"/>
        <v>1652.3172953999999</v>
      </c>
      <c r="Z13" s="280">
        <f t="shared" si="6"/>
        <v>8628.7680982000002</v>
      </c>
      <c r="AA13" s="280">
        <f t="shared" si="7"/>
        <v>28089.394021799999</v>
      </c>
      <c r="AB13" s="283">
        <f>'DATOS REFERENCIALES'!$C$10</f>
        <v>2270</v>
      </c>
      <c r="AC13" s="283">
        <f>IF(C13&lt;12,IF(H13&gt;1134,'DATOS REFERENCIALES'!$C$17,'DATOS REFERENCIALES'!$C$17/1135*H13),0)</f>
        <v>2584</v>
      </c>
      <c r="AD13" s="415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0</v>
      </c>
      <c r="AE13" s="282">
        <f t="shared" si="8"/>
        <v>32943.394021799999</v>
      </c>
      <c r="AF13" s="285">
        <f>'DATOS REFERENCIALES'!$C$13</f>
        <v>1210</v>
      </c>
      <c r="AG13" s="399" t="e">
        <f>IF($H13&gt;1119,'DATOS REFERENCIALES'!#REF!,'DATOS REFERENCIALES'!#REF!/1120*$H13)</f>
        <v>#REF!</v>
      </c>
      <c r="AH13" s="399">
        <f>+AF13</f>
        <v>1210</v>
      </c>
      <c r="AI13" s="280">
        <f>'DATOS REFERENCIALES'!$C$12</f>
        <v>210</v>
      </c>
      <c r="AJ13" s="664">
        <f>+AE13+AE14+AF13+AH13+AI13</f>
        <v>38474.289524524997</v>
      </c>
      <c r="AK13" s="755">
        <f>'DATOS REFERENCIALES'!$C$16</f>
        <v>2022.3050000000001</v>
      </c>
      <c r="AL13" s="755">
        <f>AK13*$AL$8</f>
        <v>475.24167499999999</v>
      </c>
      <c r="AM13" s="755">
        <f>AK13-AL13</f>
        <v>1547.0633250000001</v>
      </c>
      <c r="AN13" s="747">
        <f>AJ13+AM13</f>
        <v>40021.352849524999</v>
      </c>
      <c r="AO13" s="17"/>
      <c r="AP13" s="17"/>
      <c r="AT13" s="8"/>
    </row>
    <row r="14" spans="1:46" s="1" customFormat="1" ht="21.75" customHeight="1" thickBot="1" x14ac:dyDescent="0.25">
      <c r="A14" s="400">
        <v>3510</v>
      </c>
      <c r="B14" s="417" t="s">
        <v>38</v>
      </c>
      <c r="C14" s="288">
        <f>IF(C13&gt;0,C13,0)</f>
        <v>0</v>
      </c>
      <c r="D14" s="328"/>
      <c r="E14" s="328"/>
      <c r="F14" s="328"/>
      <c r="G14" s="418"/>
      <c r="H14" s="328"/>
      <c r="I14" s="328">
        <f>215.55/'DATOS REFERENCIALES'!$I$4*'DATOS REFERENCIALES'!$J$4</f>
        <v>359.25</v>
      </c>
      <c r="J14" s="513"/>
      <c r="K14" s="332"/>
      <c r="L14" s="332">
        <f>I14*'DATOS REFERENCIALES'!$C$4</f>
        <v>3447.29115</v>
      </c>
      <c r="M14" s="332">
        <f>IF(J14='DATOS REFERENCIALES'!$C$31,K13*'DATOS REFERENCIALES'!$D$31,IF(J14='DATOS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REFERENCIALES'!$D$37*K13),IF(J14='DATOS REFERENCIALES'!$C$38,('DATOS REFERENCIALES'!$D$38*K13),0))))))))</f>
        <v>0</v>
      </c>
      <c r="N14" s="299">
        <f>LOOKUP(C14,'TABLA ANTIG.'!$A$4:$A$39,'TABLA ANTIG.'!$B$4:$B$39)*(L14+M14)</f>
        <v>0</v>
      </c>
      <c r="O14" s="299">
        <f>(L14+M14)*0.1</f>
        <v>344.72911500000004</v>
      </c>
      <c r="P14" s="332"/>
      <c r="Q14" s="299"/>
      <c r="R14" s="297"/>
      <c r="S14" s="333"/>
      <c r="T14" s="299">
        <f>L14+M14+N14+O14+P14+Q14+R14</f>
        <v>3792.0202650000001</v>
      </c>
      <c r="U14" s="333">
        <f t="shared" si="2"/>
        <v>417.12222915000001</v>
      </c>
      <c r="V14" s="299">
        <f t="shared" si="3"/>
        <v>113.76060794999999</v>
      </c>
      <c r="W14" s="333">
        <f t="shared" si="3"/>
        <v>113.76060794999999</v>
      </c>
      <c r="X14" s="299">
        <f>$T14*2%</f>
        <v>75.8404053</v>
      </c>
      <c r="Y14" s="299">
        <f t="shared" si="5"/>
        <v>170.64091192500001</v>
      </c>
      <c r="Z14" s="299">
        <f t="shared" si="6"/>
        <v>891.12476227499997</v>
      </c>
      <c r="AA14" s="334">
        <f t="shared" si="7"/>
        <v>2900.8955027250004</v>
      </c>
      <c r="AB14" s="299"/>
      <c r="AC14" s="652"/>
      <c r="AD14" s="299"/>
      <c r="AE14" s="297">
        <f t="shared" si="8"/>
        <v>2900.8955027250004</v>
      </c>
      <c r="AF14" s="526"/>
      <c r="AG14" s="405"/>
      <c r="AH14" s="405"/>
      <c r="AI14" s="299"/>
      <c r="AJ14" s="665"/>
      <c r="AK14" s="756"/>
      <c r="AL14" s="756"/>
      <c r="AM14" s="756"/>
      <c r="AN14" s="773"/>
      <c r="AO14" s="17"/>
      <c r="AP14" s="17"/>
      <c r="AT14" s="8"/>
    </row>
    <row r="15" spans="1:46" s="1" customFormat="1" ht="21.75" customHeight="1" x14ac:dyDescent="0.2">
      <c r="A15" s="160">
        <v>3525</v>
      </c>
      <c r="B15" s="161" t="s">
        <v>25</v>
      </c>
      <c r="C15" s="162">
        <v>0</v>
      </c>
      <c r="D15" s="162"/>
      <c r="E15" s="162"/>
      <c r="F15" s="162"/>
      <c r="G15" s="163">
        <v>2204</v>
      </c>
      <c r="H15" s="119">
        <v>2500</v>
      </c>
      <c r="I15" s="119"/>
      <c r="J15" s="119"/>
      <c r="K15" s="105">
        <f>H15*'DATOS REFERENCIALES'!$C$4</f>
        <v>23989.5</v>
      </c>
      <c r="L15" s="105"/>
      <c r="M15" s="105"/>
      <c r="N15" s="106">
        <f>LOOKUP(C15,'TABLA ANTIG.'!$A$4:$A$39,'TABLA ANTIG.'!$B$4:$B$39)*(K15)</f>
        <v>0</v>
      </c>
      <c r="O15" s="145">
        <f t="shared" si="1"/>
        <v>2398.9500000000003</v>
      </c>
      <c r="P15" s="105">
        <f>'DATOS REFERENCIALES'!$C$8</f>
        <v>6382</v>
      </c>
      <c r="Q15" s="146">
        <f>LOOKUP(C15,'TABLA ANTIG.'!$A$4:$A$39,'TABLA ANTIG.'!$B$4:$B$39)*(P15)</f>
        <v>0</v>
      </c>
      <c r="R15" s="145">
        <v>0</v>
      </c>
      <c r="S15" s="543">
        <f>IF(C15&gt;11,IF(H15&gt;1134,'DATOS REFERENCIALES'!$C$18,'DATOS REFERENCIALES'!$C$18/1135*H15),0)</f>
        <v>0</v>
      </c>
      <c r="T15" s="159">
        <f t="shared" ref="T15:T24" si="9">K15+N15+O15+P15+Q15+R15+S15</f>
        <v>32770.449999999997</v>
      </c>
      <c r="U15" s="113">
        <f t="shared" si="2"/>
        <v>3604.7494999999999</v>
      </c>
      <c r="V15" s="113">
        <f t="shared" si="3"/>
        <v>983.11349999999993</v>
      </c>
      <c r="W15" s="113">
        <f t="shared" si="3"/>
        <v>983.11349999999993</v>
      </c>
      <c r="X15" s="113">
        <f t="shared" si="4"/>
        <v>655.40899999999999</v>
      </c>
      <c r="Y15" s="113">
        <f t="shared" si="5"/>
        <v>1474.6702499999999</v>
      </c>
      <c r="Z15" s="113">
        <f t="shared" si="6"/>
        <v>7701.0557499999986</v>
      </c>
      <c r="AA15" s="106">
        <f t="shared" si="7"/>
        <v>25069.394249999998</v>
      </c>
      <c r="AB15" s="149">
        <f>'DATOS REFERENCIALES'!$C$10</f>
        <v>2270</v>
      </c>
      <c r="AC15" s="653">
        <f>IF(C15&lt;12,IF(H15&gt;1134,'DATOS REFERENCIALES'!$C$17,'DATOS REFERENCIALES'!$C$17/1135*H15),0)</f>
        <v>2584</v>
      </c>
      <c r="AD15" s="79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0</v>
      </c>
      <c r="AE15" s="146">
        <f t="shared" si="8"/>
        <v>29923.394249999998</v>
      </c>
      <c r="AF15" s="527">
        <f>'DATOS REFERENCIALES'!$C$13</f>
        <v>1210</v>
      </c>
      <c r="AG15" s="596" t="e">
        <f>IF($H15&gt;1119,'DATOS REFERENCIALES'!#REF!,'DATOS REFERENCIALES'!#REF!/1120*$H15)</f>
        <v>#REF!</v>
      </c>
      <c r="AH15" s="596">
        <f>+AF15</f>
        <v>1210</v>
      </c>
      <c r="AI15" s="106">
        <f>'DATOS REFERENCIALES'!$C$12</f>
        <v>210</v>
      </c>
      <c r="AJ15" s="78">
        <f>+AE15+AF15+AH15+AI15</f>
        <v>32553.394249999998</v>
      </c>
      <c r="AK15" s="585">
        <f>'DATOS REFERENCIALES'!$C$16</f>
        <v>2022.3050000000001</v>
      </c>
      <c r="AL15" s="585">
        <f t="shared" ref="AL15:AL24" si="10">AK15*$AL$8</f>
        <v>475.24167499999999</v>
      </c>
      <c r="AM15" s="585">
        <f t="shared" ref="AM15:AM24" si="11">AK15-AL15</f>
        <v>1547.0633250000001</v>
      </c>
      <c r="AN15" s="585">
        <f t="shared" ref="AN15:AN24" si="12">AJ15+AM15</f>
        <v>34100.457575</v>
      </c>
      <c r="AO15" s="17"/>
      <c r="AP15" s="17"/>
      <c r="AT15" s="8"/>
    </row>
    <row r="16" spans="1:46" s="1" customFormat="1" ht="21.75" customHeight="1" x14ac:dyDescent="0.2">
      <c r="A16" s="74">
        <v>3535</v>
      </c>
      <c r="B16" s="85" t="s">
        <v>39</v>
      </c>
      <c r="C16" s="162">
        <v>0</v>
      </c>
      <c r="D16" s="23"/>
      <c r="E16" s="23"/>
      <c r="F16" s="23"/>
      <c r="G16" s="52">
        <v>984</v>
      </c>
      <c r="H16" s="35">
        <f t="shared" si="0"/>
        <v>984</v>
      </c>
      <c r="I16" s="35"/>
      <c r="J16" s="35"/>
      <c r="K16" s="89">
        <f>H16*'DATOS REFERENCIALES'!$C$4</f>
        <v>9442.2672000000002</v>
      </c>
      <c r="L16" s="89"/>
      <c r="M16" s="89"/>
      <c r="N16" s="79">
        <f>LOOKUP(C16,'TABLA ANTIG.'!$A$4:$A$39,'TABLA ANTIG.'!$B$4:$B$39)*(K16)</f>
        <v>0</v>
      </c>
      <c r="O16" s="98">
        <f t="shared" si="1"/>
        <v>944.22672000000011</v>
      </c>
      <c r="P16" s="89">
        <f>'DATOS REFERENCIALES'!$C$8</f>
        <v>6382</v>
      </c>
      <c r="Q16" s="130">
        <f>LOOKUP(C16,'TABLA ANTIG.'!$A$4:$A$39,'TABLA ANTIG.'!$B$4:$B$39)*(P16)</f>
        <v>0</v>
      </c>
      <c r="R16" s="98">
        <v>0</v>
      </c>
      <c r="S16" s="545">
        <f>IF(C16&gt;11,IF(H16&gt;1134,'DATOS REFERENCIALES'!$C$18,'DATOS REFERENCIALES'!$C$18/1135*H16),0)</f>
        <v>0</v>
      </c>
      <c r="T16" s="159">
        <f t="shared" si="9"/>
        <v>16768.493920000001</v>
      </c>
      <c r="U16" s="27">
        <f t="shared" si="2"/>
        <v>1844.5343312</v>
      </c>
      <c r="V16" s="27">
        <f t="shared" si="3"/>
        <v>503.05481759999998</v>
      </c>
      <c r="W16" s="27">
        <f t="shared" si="3"/>
        <v>503.05481759999998</v>
      </c>
      <c r="X16" s="27">
        <f t="shared" si="4"/>
        <v>335.3698784</v>
      </c>
      <c r="Y16" s="27">
        <f t="shared" si="5"/>
        <v>754.58222639999997</v>
      </c>
      <c r="Z16" s="27">
        <f t="shared" si="6"/>
        <v>3940.5960711999996</v>
      </c>
      <c r="AA16" s="79">
        <f t="shared" si="7"/>
        <v>12827.897848800001</v>
      </c>
      <c r="AB16" s="147">
        <f>'DATOS REFERENCIALES'!$C$10</f>
        <v>2270</v>
      </c>
      <c r="AC16" s="654">
        <f>IF(C16&lt;12,IF(H16&gt;1134,'DATOS REFERENCIALES'!$C$17,'DATOS REFERENCIALES'!$C$17/1135*H16),0)</f>
        <v>2240.2255506607926</v>
      </c>
      <c r="AD16" s="79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7403.1911379841404</v>
      </c>
      <c r="AE16" s="130">
        <f t="shared" si="8"/>
        <v>24741.314537444934</v>
      </c>
      <c r="AF16" s="91">
        <f>'DATOS REFERENCIALES'!$C$13</f>
        <v>1210</v>
      </c>
      <c r="AG16" s="91" t="e">
        <f>IF($H16&gt;1119,'DATOS REFERENCIALES'!#REF!,'DATOS REFERENCIALES'!#REF!/1120*$H16)</f>
        <v>#REF!</v>
      </c>
      <c r="AH16" s="527">
        <f t="shared" ref="AH16:AH24" si="13">+AF16</f>
        <v>1210</v>
      </c>
      <c r="AI16" s="79">
        <f>'DATOS REFERENCIALES'!$C$12</f>
        <v>210</v>
      </c>
      <c r="AJ16" s="106">
        <f t="shared" ref="AJ16:AJ24" si="14">+AE16+AF16+AH16+AI16</f>
        <v>27371.314537444934</v>
      </c>
      <c r="AK16" s="587">
        <f>'DATOS REFERENCIALES'!$C$16</f>
        <v>2022.3050000000001</v>
      </c>
      <c r="AL16" s="587">
        <f t="shared" si="10"/>
        <v>475.24167499999999</v>
      </c>
      <c r="AM16" s="587">
        <f t="shared" si="11"/>
        <v>1547.0633250000001</v>
      </c>
      <c r="AN16" s="587">
        <f t="shared" si="12"/>
        <v>28918.377862444933</v>
      </c>
      <c r="AO16" s="17"/>
      <c r="AP16" s="17"/>
      <c r="AT16" s="8"/>
    </row>
    <row r="17" spans="1:46" s="1" customFormat="1" ht="21.75" customHeight="1" x14ac:dyDescent="0.2">
      <c r="A17" s="74">
        <v>3536</v>
      </c>
      <c r="B17" s="85" t="s">
        <v>40</v>
      </c>
      <c r="C17" s="162">
        <v>0</v>
      </c>
      <c r="D17" s="23"/>
      <c r="E17" s="23"/>
      <c r="F17" s="23"/>
      <c r="G17" s="52">
        <v>810</v>
      </c>
      <c r="H17" s="35">
        <v>825</v>
      </c>
      <c r="I17" s="35"/>
      <c r="J17" s="35"/>
      <c r="K17" s="89">
        <f>H17*'DATOS REFERENCIALES'!$C$4</f>
        <v>7916.5350000000008</v>
      </c>
      <c r="L17" s="89"/>
      <c r="M17" s="89"/>
      <c r="N17" s="79">
        <f>LOOKUP(C17,'TABLA ANTIG.'!$A$4:$A$39,'TABLA ANTIG.'!$B$4:$B$39)*(K17)</f>
        <v>0</v>
      </c>
      <c r="O17" s="98">
        <f t="shared" si="1"/>
        <v>791.65350000000012</v>
      </c>
      <c r="P17" s="89">
        <f>'DATOS REFERENCIALES'!$C$8</f>
        <v>6382</v>
      </c>
      <c r="Q17" s="130">
        <f>LOOKUP(C17,'TABLA ANTIG.'!$A$4:$A$39,'TABLA ANTIG.'!$B$4:$B$39)*(P17)</f>
        <v>0</v>
      </c>
      <c r="R17" s="98">
        <v>0</v>
      </c>
      <c r="S17" s="545">
        <f>IF(C17&gt;11,IF(H17&gt;1134,'DATOS REFERENCIALES'!$C$18,'DATOS REFERENCIALES'!$C$18/1135*H17),0)</f>
        <v>0</v>
      </c>
      <c r="T17" s="159">
        <f t="shared" si="9"/>
        <v>15090.1885</v>
      </c>
      <c r="U17" s="27">
        <f t="shared" si="2"/>
        <v>1659.9207349999999</v>
      </c>
      <c r="V17" s="27">
        <f t="shared" si="3"/>
        <v>452.70565499999998</v>
      </c>
      <c r="W17" s="27">
        <f t="shared" si="3"/>
        <v>452.70565499999998</v>
      </c>
      <c r="X17" s="27">
        <f t="shared" si="4"/>
        <v>301.80376999999999</v>
      </c>
      <c r="Y17" s="27">
        <f t="shared" si="5"/>
        <v>679.05848249999997</v>
      </c>
      <c r="Z17" s="27">
        <f t="shared" si="6"/>
        <v>3546.1942975000002</v>
      </c>
      <c r="AA17" s="79">
        <f t="shared" si="7"/>
        <v>11543.9942025</v>
      </c>
      <c r="AB17" s="147">
        <f>'DATOS REFERENCIALES'!$C$10</f>
        <v>2270</v>
      </c>
      <c r="AC17" s="654">
        <f>IF(C17&lt;12,IF(H17&gt;1134,'DATOS REFERENCIALES'!$C$17,'DATOS REFERENCIALES'!$C$17/1135*H17),0)</f>
        <v>1878.2378854625549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5051.2480882488999</v>
      </c>
      <c r="AE17" s="130">
        <f t="shared" si="8"/>
        <v>20743.480176211455</v>
      </c>
      <c r="AF17" s="91">
        <f>'DATOS REFERENCIALES'!$C$13</f>
        <v>1210</v>
      </c>
      <c r="AG17" s="91" t="e">
        <f>IF($H17&gt;1119,'DATOS REFERENCIALES'!#REF!,'DATOS REFERENCIALES'!#REF!/1120*$H17)</f>
        <v>#REF!</v>
      </c>
      <c r="AH17" s="527">
        <f t="shared" si="13"/>
        <v>1210</v>
      </c>
      <c r="AI17" s="79">
        <f>'DATOS REFERENCIALES'!$C$12</f>
        <v>210</v>
      </c>
      <c r="AJ17" s="106">
        <f t="shared" si="14"/>
        <v>23373.480176211455</v>
      </c>
      <c r="AK17" s="587">
        <f>'DATOS REFERENCIALES'!$C$16</f>
        <v>2022.3050000000001</v>
      </c>
      <c r="AL17" s="587">
        <f t="shared" si="10"/>
        <v>475.24167499999999</v>
      </c>
      <c r="AM17" s="587">
        <f t="shared" si="11"/>
        <v>1547.0633250000001</v>
      </c>
      <c r="AN17" s="587">
        <f t="shared" si="12"/>
        <v>24920.543501211454</v>
      </c>
      <c r="AO17" s="17"/>
      <c r="AP17" s="17"/>
      <c r="AT17" s="8"/>
    </row>
    <row r="18" spans="1:46" s="1" customFormat="1" ht="21.75" customHeight="1" x14ac:dyDescent="0.2">
      <c r="A18" s="74">
        <v>3539</v>
      </c>
      <c r="B18" s="85" t="s">
        <v>41</v>
      </c>
      <c r="C18" s="162">
        <v>0</v>
      </c>
      <c r="D18" s="23"/>
      <c r="E18" s="23"/>
      <c r="F18" s="23"/>
      <c r="G18" s="52">
        <v>1684</v>
      </c>
      <c r="H18" s="35">
        <f t="shared" si="0"/>
        <v>1684</v>
      </c>
      <c r="I18" s="35"/>
      <c r="J18" s="35"/>
      <c r="K18" s="89">
        <f>H18*'DATOS REFERENCIALES'!$C$4</f>
        <v>16159.327200000002</v>
      </c>
      <c r="L18" s="89"/>
      <c r="M18" s="89"/>
      <c r="N18" s="79">
        <f>LOOKUP(C18,'TABLA ANTIG.'!$A$4:$A$39,'TABLA ANTIG.'!$B$4:$B$39)*(K18)</f>
        <v>0</v>
      </c>
      <c r="O18" s="98">
        <f t="shared" si="1"/>
        <v>1615.9327200000002</v>
      </c>
      <c r="P18" s="89">
        <f>'DATOS REFERENCIALES'!$C$8</f>
        <v>6382</v>
      </c>
      <c r="Q18" s="130">
        <f>LOOKUP(C18,'TABLA ANTIG.'!$A$4:$A$39,'TABLA ANTIG.'!$B$4:$B$39)*(P18)</f>
        <v>0</v>
      </c>
      <c r="R18" s="98">
        <v>0</v>
      </c>
      <c r="S18" s="545">
        <f>IF(C18&gt;11,IF(H18&gt;1134,'DATOS REFERENCIALES'!$C$18,'DATOS REFERENCIALES'!$C$18/1135*H18),0)</f>
        <v>0</v>
      </c>
      <c r="T18" s="159">
        <f t="shared" si="9"/>
        <v>24157.25992</v>
      </c>
      <c r="U18" s="27">
        <f t="shared" si="2"/>
        <v>2657.2985911999999</v>
      </c>
      <c r="V18" s="27">
        <f t="shared" si="3"/>
        <v>724.71779760000004</v>
      </c>
      <c r="W18" s="27">
        <f t="shared" si="3"/>
        <v>724.71779760000004</v>
      </c>
      <c r="X18" s="27">
        <f t="shared" si="4"/>
        <v>483.14519840000003</v>
      </c>
      <c r="Y18" s="27">
        <f t="shared" si="5"/>
        <v>1087.0766963999999</v>
      </c>
      <c r="Z18" s="27">
        <f t="shared" si="6"/>
        <v>5676.9560812</v>
      </c>
      <c r="AA18" s="79">
        <f t="shared" si="7"/>
        <v>18480.303838799999</v>
      </c>
      <c r="AB18" s="147">
        <f>'DATOS REFERENCIALES'!$C$10</f>
        <v>2270</v>
      </c>
      <c r="AC18" s="654">
        <f>IF(C18&lt;12,IF(H18&gt;1134,'DATOS REFERENCIALES'!$C$17,'DATOS REFERENCIALES'!$C$17/1135*H18),0)</f>
        <v>2584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5203.6961611999977</v>
      </c>
      <c r="AE18" s="130">
        <f t="shared" si="8"/>
        <v>28537.999999999996</v>
      </c>
      <c r="AF18" s="91">
        <f>'DATOS REFERENCIALES'!$C$13</f>
        <v>1210</v>
      </c>
      <c r="AG18" s="91" t="e">
        <f>IF($H18&gt;1119,'DATOS REFERENCIALES'!#REF!,'DATOS REFERENCIALES'!#REF!/1120*$H18)</f>
        <v>#REF!</v>
      </c>
      <c r="AH18" s="527">
        <f t="shared" si="13"/>
        <v>1210</v>
      </c>
      <c r="AI18" s="79">
        <f>'DATOS REFERENCIALES'!$C$12</f>
        <v>210</v>
      </c>
      <c r="AJ18" s="106">
        <f t="shared" si="14"/>
        <v>31167.999999999996</v>
      </c>
      <c r="AK18" s="587">
        <f>'DATOS REFERENCIALES'!$C$16</f>
        <v>2022.3050000000001</v>
      </c>
      <c r="AL18" s="587">
        <f t="shared" si="10"/>
        <v>475.24167499999999</v>
      </c>
      <c r="AM18" s="587">
        <f t="shared" si="11"/>
        <v>1547.0633250000001</v>
      </c>
      <c r="AN18" s="587">
        <f t="shared" si="12"/>
        <v>32715.063324999996</v>
      </c>
      <c r="AO18" s="17"/>
      <c r="AP18" s="17"/>
      <c r="AT18" s="8"/>
    </row>
    <row r="19" spans="1:46" s="1" customFormat="1" ht="21.75" customHeight="1" x14ac:dyDescent="0.2">
      <c r="A19" s="74">
        <v>3544</v>
      </c>
      <c r="B19" s="85" t="s">
        <v>42</v>
      </c>
      <c r="C19" s="162">
        <v>0</v>
      </c>
      <c r="D19" s="23"/>
      <c r="E19" s="23"/>
      <c r="F19" s="23"/>
      <c r="G19" s="52">
        <v>952</v>
      </c>
      <c r="H19" s="35">
        <f t="shared" si="0"/>
        <v>952</v>
      </c>
      <c r="I19" s="35"/>
      <c r="J19" s="35"/>
      <c r="K19" s="89">
        <f>H19*'DATOS REFERENCIALES'!$C$4</f>
        <v>9135.2016000000003</v>
      </c>
      <c r="L19" s="89"/>
      <c r="M19" s="89"/>
      <c r="N19" s="79">
        <f>LOOKUP(C19,'TABLA ANTIG.'!$A$4:$A$39,'TABLA ANTIG.'!$B$4:$B$39)*(K19)</f>
        <v>0</v>
      </c>
      <c r="O19" s="98">
        <f t="shared" si="1"/>
        <v>913.52016000000003</v>
      </c>
      <c r="P19" s="89">
        <f>'DATOS REFERENCIALES'!$C$8</f>
        <v>6382</v>
      </c>
      <c r="Q19" s="130">
        <f>LOOKUP(C19,'TABLA ANTIG.'!$A$4:$A$39,'TABLA ANTIG.'!$B$4:$B$39)*(P19)</f>
        <v>0</v>
      </c>
      <c r="R19" s="98">
        <v>0</v>
      </c>
      <c r="S19" s="545">
        <f>IF(C19&gt;11,IF(H19&gt;1134,'DATOS REFERENCIALES'!$C$18,'DATOS REFERENCIALES'!$C$18/1135*H19),0)</f>
        <v>0</v>
      </c>
      <c r="T19" s="159">
        <f t="shared" si="9"/>
        <v>16430.72176</v>
      </c>
      <c r="U19" s="27">
        <f t="shared" si="2"/>
        <v>1807.3793936</v>
      </c>
      <c r="V19" s="27">
        <f t="shared" si="3"/>
        <v>492.9216528</v>
      </c>
      <c r="W19" s="27">
        <f t="shared" si="3"/>
        <v>492.9216528</v>
      </c>
      <c r="X19" s="27">
        <f t="shared" si="4"/>
        <v>328.6144352</v>
      </c>
      <c r="Y19" s="27">
        <f t="shared" si="5"/>
        <v>739.38247920000003</v>
      </c>
      <c r="Z19" s="27">
        <f t="shared" si="6"/>
        <v>3861.2196136000002</v>
      </c>
      <c r="AA19" s="79">
        <f t="shared" si="7"/>
        <v>12569.5021464</v>
      </c>
      <c r="AB19" s="147">
        <f>'DATOS REFERENCIALES'!$C$10</f>
        <v>2270</v>
      </c>
      <c r="AC19" s="654">
        <f>IF(C19&lt;12,IF(H19&gt;1134,'DATOS REFERENCIALES'!$C$17,'DATOS REFERENCIALES'!$C$17/1135*H19),0)</f>
        <v>2167.3726872246693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6929.8441091066052</v>
      </c>
      <c r="AE19" s="130">
        <f t="shared" si="8"/>
        <v>23936.718942731273</v>
      </c>
      <c r="AF19" s="91">
        <f>'DATOS REFERENCIALES'!$C$13</f>
        <v>1210</v>
      </c>
      <c r="AG19" s="91" t="e">
        <f>IF($H19&gt;1119,'DATOS REFERENCIALES'!#REF!,'DATOS REFERENCIALES'!#REF!/1120*$H19)</f>
        <v>#REF!</v>
      </c>
      <c r="AH19" s="527">
        <f t="shared" si="13"/>
        <v>1210</v>
      </c>
      <c r="AI19" s="79">
        <f>'DATOS REFERENCIALES'!$C$12</f>
        <v>210</v>
      </c>
      <c r="AJ19" s="106">
        <f t="shared" si="14"/>
        <v>26566.718942731273</v>
      </c>
      <c r="AK19" s="587">
        <f>'DATOS REFERENCIALES'!$C$16</f>
        <v>2022.3050000000001</v>
      </c>
      <c r="AL19" s="587">
        <f t="shared" si="10"/>
        <v>475.24167499999999</v>
      </c>
      <c r="AM19" s="587">
        <f t="shared" si="11"/>
        <v>1547.0633250000001</v>
      </c>
      <c r="AN19" s="587">
        <f t="shared" si="12"/>
        <v>28113.782267731272</v>
      </c>
      <c r="AO19" s="17"/>
      <c r="AP19" s="17"/>
      <c r="AT19" s="8"/>
    </row>
    <row r="20" spans="1:46" s="1" customFormat="1" ht="21.75" customHeight="1" x14ac:dyDescent="0.2">
      <c r="A20" s="74">
        <v>3549</v>
      </c>
      <c r="B20" s="85" t="s">
        <v>27</v>
      </c>
      <c r="C20" s="162">
        <v>0</v>
      </c>
      <c r="D20" s="23"/>
      <c r="E20" s="23"/>
      <c r="F20" s="23"/>
      <c r="G20" s="52">
        <v>1120</v>
      </c>
      <c r="H20" s="601">
        <v>1135</v>
      </c>
      <c r="I20" s="35"/>
      <c r="J20" s="35"/>
      <c r="K20" s="89">
        <f>H20*'DATOS REFERENCIALES'!$C$4</f>
        <v>10891.233</v>
      </c>
      <c r="L20" s="89"/>
      <c r="M20" s="89"/>
      <c r="N20" s="79">
        <f>LOOKUP(C20,'TABLA ANTIG.'!$A$4:$A$39,'TABLA ANTIG.'!$B$4:$B$39)*(K20)</f>
        <v>0</v>
      </c>
      <c r="O20" s="98">
        <f t="shared" si="1"/>
        <v>1089.1233</v>
      </c>
      <c r="P20" s="89">
        <f>'DATOS REFERENCIALES'!$C$8</f>
        <v>6382</v>
      </c>
      <c r="Q20" s="130">
        <f>LOOKUP(C20,'TABLA ANTIG.'!$A$4:$A$39,'TABLA ANTIG.'!$B$4:$B$39)*(P20)</f>
        <v>0</v>
      </c>
      <c r="R20" s="98">
        <v>0</v>
      </c>
      <c r="S20" s="545">
        <f>IF(C20&gt;11,IF(H20&gt;1134,'DATOS REFERENCIALES'!$C$18,'DATOS REFERENCIALES'!$C$18/1135*H20),0)</f>
        <v>0</v>
      </c>
      <c r="T20" s="159">
        <f t="shared" si="9"/>
        <v>18362.356299999999</v>
      </c>
      <c r="U20" s="27">
        <f t="shared" si="2"/>
        <v>2019.859193</v>
      </c>
      <c r="V20" s="27">
        <f t="shared" si="3"/>
        <v>550.87068899999997</v>
      </c>
      <c r="W20" s="27">
        <f t="shared" si="3"/>
        <v>550.87068899999997</v>
      </c>
      <c r="X20" s="27">
        <f t="shared" si="4"/>
        <v>367.24712599999998</v>
      </c>
      <c r="Y20" s="27">
        <f t="shared" si="5"/>
        <v>826.3060334999999</v>
      </c>
      <c r="Z20" s="27">
        <f t="shared" si="6"/>
        <v>4315.1537305000002</v>
      </c>
      <c r="AA20" s="79">
        <f t="shared" si="7"/>
        <v>14047.202569499999</v>
      </c>
      <c r="AB20" s="147">
        <f>'DATOS REFERENCIALES'!$C$10</f>
        <v>2270</v>
      </c>
      <c r="AC20" s="654">
        <f>IF(C20&lt;12,IF(H20&gt;1134,'DATOS REFERENCIALES'!$C$17,'DATOS REFERENCIALES'!$C$17/1135*H20),0)</f>
        <v>2584</v>
      </c>
      <c r="AD20" s="7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130">
        <f t="shared" si="8"/>
        <v>28537.999999999996</v>
      </c>
      <c r="AF20" s="91">
        <f>'DATOS REFERENCIALES'!$C$13</f>
        <v>1210</v>
      </c>
      <c r="AG20" s="91" t="e">
        <f>IF($H20&gt;1119,'DATOS REFERENCIALES'!#REF!,'DATOS REFERENCIALES'!#REF!/1120*$H20)</f>
        <v>#REF!</v>
      </c>
      <c r="AH20" s="527">
        <f t="shared" si="13"/>
        <v>1210</v>
      </c>
      <c r="AI20" s="79">
        <f>'DATOS REFERENCIALES'!$C$12</f>
        <v>210</v>
      </c>
      <c r="AJ20" s="106">
        <f t="shared" si="14"/>
        <v>31167.999999999996</v>
      </c>
      <c r="AK20" s="587">
        <f>'DATOS REFERENCIALES'!$C$16</f>
        <v>2022.3050000000001</v>
      </c>
      <c r="AL20" s="587">
        <f t="shared" si="10"/>
        <v>475.24167499999999</v>
      </c>
      <c r="AM20" s="587">
        <f t="shared" si="11"/>
        <v>1547.0633250000001</v>
      </c>
      <c r="AN20" s="587">
        <f t="shared" si="12"/>
        <v>32715.063324999996</v>
      </c>
      <c r="AO20" s="17"/>
      <c r="AP20" s="17"/>
      <c r="AT20" s="8"/>
    </row>
    <row r="21" spans="1:46" s="1" customFormat="1" ht="21.75" customHeight="1" x14ac:dyDescent="0.2">
      <c r="A21" s="74">
        <v>3554</v>
      </c>
      <c r="B21" s="85" t="s">
        <v>30</v>
      </c>
      <c r="C21" s="162">
        <v>0</v>
      </c>
      <c r="D21" s="23"/>
      <c r="E21" s="23"/>
      <c r="F21" s="23"/>
      <c r="G21" s="52">
        <v>810</v>
      </c>
      <c r="H21" s="35">
        <v>825</v>
      </c>
      <c r="I21" s="35"/>
      <c r="J21" s="35"/>
      <c r="K21" s="89">
        <f>H21*'DATOS REFERENCIALES'!$C$4</f>
        <v>7916.5350000000008</v>
      </c>
      <c r="L21" s="89"/>
      <c r="M21" s="89"/>
      <c r="N21" s="79">
        <f>LOOKUP(C21,'TABLA ANTIG.'!$A$4:$A$39,'TABLA ANTIG.'!$B$4:$B$39)*(K21)</f>
        <v>0</v>
      </c>
      <c r="O21" s="98">
        <f t="shared" si="1"/>
        <v>791.65350000000012</v>
      </c>
      <c r="P21" s="89">
        <f>'DATOS REFERENCIALES'!$C$8</f>
        <v>6382</v>
      </c>
      <c r="Q21" s="130">
        <f>LOOKUP(C21,'TABLA ANTIG.'!$A$4:$A$39,'TABLA ANTIG.'!$B$4:$B$39)*(P21)</f>
        <v>0</v>
      </c>
      <c r="R21" s="98">
        <v>0</v>
      </c>
      <c r="S21" s="545">
        <f>IF(C21&gt;11,IF(H21&gt;1134,'DATOS REFERENCIALES'!$C$18,'DATOS REFERENCIALES'!$C$18/1135*H21),0)</f>
        <v>0</v>
      </c>
      <c r="T21" s="159">
        <f t="shared" si="9"/>
        <v>15090.1885</v>
      </c>
      <c r="U21" s="27">
        <f t="shared" si="2"/>
        <v>1659.9207349999999</v>
      </c>
      <c r="V21" s="27">
        <f t="shared" si="3"/>
        <v>452.70565499999998</v>
      </c>
      <c r="W21" s="27">
        <f t="shared" si="3"/>
        <v>452.70565499999998</v>
      </c>
      <c r="X21" s="27">
        <f t="shared" si="4"/>
        <v>301.80376999999999</v>
      </c>
      <c r="Y21" s="27">
        <f t="shared" si="5"/>
        <v>679.05848249999997</v>
      </c>
      <c r="Z21" s="27">
        <f t="shared" si="6"/>
        <v>3546.1942975000002</v>
      </c>
      <c r="AA21" s="79">
        <f t="shared" si="7"/>
        <v>11543.9942025</v>
      </c>
      <c r="AB21" s="147">
        <f>'DATOS REFERENCIALES'!$C$10</f>
        <v>2270</v>
      </c>
      <c r="AC21" s="654">
        <f>IF(C21&lt;12,IF(H21&gt;1134,'DATOS REFERENCIALES'!$C$17,'DATOS REFERENCIALES'!$C$17/1135*H21),0)</f>
        <v>1878.2378854625549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5051.2480882488999</v>
      </c>
      <c r="AE21" s="130">
        <f t="shared" si="8"/>
        <v>20743.480176211455</v>
      </c>
      <c r="AF21" s="91">
        <f>'DATOS REFERENCIALES'!$C$13</f>
        <v>1210</v>
      </c>
      <c r="AG21" s="91" t="e">
        <f>IF($H21&gt;1119,'DATOS REFERENCIALES'!#REF!,'DATOS REFERENCIALES'!#REF!/1120*$H21)</f>
        <v>#REF!</v>
      </c>
      <c r="AH21" s="527">
        <f t="shared" si="13"/>
        <v>1210</v>
      </c>
      <c r="AI21" s="79">
        <f>'DATOS REFERENCIALES'!$C$12</f>
        <v>210</v>
      </c>
      <c r="AJ21" s="106">
        <f t="shared" si="14"/>
        <v>23373.480176211455</v>
      </c>
      <c r="AK21" s="587">
        <f>'DATOS REFERENCIALES'!$C$16</f>
        <v>2022.3050000000001</v>
      </c>
      <c r="AL21" s="587">
        <f t="shared" si="10"/>
        <v>475.24167499999999</v>
      </c>
      <c r="AM21" s="587">
        <f t="shared" si="11"/>
        <v>1547.0633250000001</v>
      </c>
      <c r="AN21" s="587">
        <f t="shared" si="12"/>
        <v>24920.543501211454</v>
      </c>
      <c r="AO21" s="17"/>
      <c r="AP21" s="17"/>
      <c r="AT21" s="8"/>
    </row>
    <row r="22" spans="1:46" s="1" customFormat="1" ht="21.75" customHeight="1" x14ac:dyDescent="0.2">
      <c r="A22" s="74">
        <v>3565</v>
      </c>
      <c r="B22" s="85" t="s">
        <v>44</v>
      </c>
      <c r="C22" s="162">
        <v>0</v>
      </c>
      <c r="D22" s="23"/>
      <c r="E22" s="23"/>
      <c r="F22" s="23"/>
      <c r="G22" s="52">
        <v>810</v>
      </c>
      <c r="H22" s="35">
        <v>825</v>
      </c>
      <c r="I22" s="35"/>
      <c r="J22" s="35"/>
      <c r="K22" s="89">
        <f>H22*'DATOS REFERENCIALES'!$C$4</f>
        <v>7916.5350000000008</v>
      </c>
      <c r="L22" s="89"/>
      <c r="M22" s="89"/>
      <c r="N22" s="79">
        <f>LOOKUP(C22,'TABLA ANTIG.'!$A$4:$A$39,'TABLA ANTIG.'!$B$4:$B$39)*(K22)</f>
        <v>0</v>
      </c>
      <c r="O22" s="98">
        <f t="shared" si="1"/>
        <v>791.65350000000012</v>
      </c>
      <c r="P22" s="89">
        <f>'DATOS REFERENCIALES'!$C$8</f>
        <v>6382</v>
      </c>
      <c r="Q22" s="130">
        <f>LOOKUP(C22,'TABLA ANTIG.'!$A$4:$A$39,'TABLA ANTIG.'!$B$4:$B$39)*(P22)</f>
        <v>0</v>
      </c>
      <c r="R22" s="98">
        <v>0</v>
      </c>
      <c r="S22" s="545">
        <f>IF(C22&gt;11,IF(H22&gt;1134,'DATOS REFERENCIALES'!$C$18,'DATOS REFERENCIALES'!$C$18/1135*H22),0)</f>
        <v>0</v>
      </c>
      <c r="T22" s="159">
        <f t="shared" si="9"/>
        <v>15090.1885</v>
      </c>
      <c r="U22" s="27">
        <f t="shared" si="2"/>
        <v>1659.9207349999999</v>
      </c>
      <c r="V22" s="27">
        <f t="shared" si="3"/>
        <v>452.70565499999998</v>
      </c>
      <c r="W22" s="27">
        <f t="shared" si="3"/>
        <v>452.70565499999998</v>
      </c>
      <c r="X22" s="27">
        <f t="shared" si="4"/>
        <v>301.80376999999999</v>
      </c>
      <c r="Y22" s="27">
        <f t="shared" si="5"/>
        <v>679.05848249999997</v>
      </c>
      <c r="Z22" s="27">
        <f t="shared" si="6"/>
        <v>3546.1942975000002</v>
      </c>
      <c r="AA22" s="79">
        <f t="shared" si="7"/>
        <v>11543.9942025</v>
      </c>
      <c r="AB22" s="147">
        <f>'DATOS REFERENCIALES'!$C$10</f>
        <v>2270</v>
      </c>
      <c r="AC22" s="654">
        <f>IF(C22&lt;12,IF(H22&gt;1134,'DATOS REFERENCIALES'!$C$17,'DATOS REFERENCIALES'!$C$17/1135*H22),0)</f>
        <v>1878.2378854625549</v>
      </c>
      <c r="AD22" s="79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5051.2480882488999</v>
      </c>
      <c r="AE22" s="130">
        <f t="shared" si="8"/>
        <v>20743.480176211455</v>
      </c>
      <c r="AF22" s="91">
        <f>'DATOS REFERENCIALES'!$C$13</f>
        <v>1210</v>
      </c>
      <c r="AG22" s="91" t="e">
        <f>IF($H22&gt;1119,'DATOS REFERENCIALES'!#REF!,'DATOS REFERENCIALES'!#REF!/1120*$H22)</f>
        <v>#REF!</v>
      </c>
      <c r="AH22" s="527">
        <f t="shared" si="13"/>
        <v>1210</v>
      </c>
      <c r="AI22" s="79">
        <f>'DATOS REFERENCIALES'!$C$12</f>
        <v>210</v>
      </c>
      <c r="AJ22" s="106">
        <f t="shared" si="14"/>
        <v>23373.480176211455</v>
      </c>
      <c r="AK22" s="587">
        <f>'DATOS REFERENCIALES'!$C$16</f>
        <v>2022.3050000000001</v>
      </c>
      <c r="AL22" s="587">
        <f t="shared" si="10"/>
        <v>475.24167499999999</v>
      </c>
      <c r="AM22" s="587">
        <f t="shared" si="11"/>
        <v>1547.0633250000001</v>
      </c>
      <c r="AN22" s="587">
        <f t="shared" si="12"/>
        <v>24920.543501211454</v>
      </c>
      <c r="AO22" s="17"/>
      <c r="AP22" s="17"/>
      <c r="AT22" s="8"/>
    </row>
    <row r="23" spans="1:46" s="1" customFormat="1" ht="21.75" customHeight="1" x14ac:dyDescent="0.2">
      <c r="A23" s="74">
        <v>3598</v>
      </c>
      <c r="B23" s="85" t="s">
        <v>43</v>
      </c>
      <c r="C23" s="162">
        <v>0</v>
      </c>
      <c r="D23" s="35">
        <v>1</v>
      </c>
      <c r="E23" s="23"/>
      <c r="F23" s="23"/>
      <c r="G23" s="52">
        <v>65</v>
      </c>
      <c r="H23" s="35">
        <f t="shared" si="0"/>
        <v>65</v>
      </c>
      <c r="I23" s="35"/>
      <c r="J23" s="35"/>
      <c r="K23" s="89">
        <f>(H23*'DATOS REFERENCIALES'!$C$4)*D23</f>
        <v>623.72700000000009</v>
      </c>
      <c r="L23" s="89"/>
      <c r="M23" s="89"/>
      <c r="N23" s="79">
        <f>LOOKUP(C23,'TABLA ANTIG.'!$A$4:$A$39,'TABLA ANTIG.'!$B$4:$B$39)*(K23)</f>
        <v>0</v>
      </c>
      <c r="O23" s="98">
        <f t="shared" si="1"/>
        <v>62.372700000000009</v>
      </c>
      <c r="P23" s="89">
        <f>IF(D23&gt;48,'DATOS REFERENCIALES'!$D$8+('DATOS REFERENCIALES'!$F$8*10),IF(D23&lt;39,'DATOS REFERENCIALES'!$E$8*D23,((D23-'DATOS REFERENCIALES'!$I$8)*'DATOS REFERENCIALES'!$F$8)+'DATOS REFERENCIALES'!$D$8))</f>
        <v>335.89473684210526</v>
      </c>
      <c r="Q23" s="130">
        <f>LOOKUP(C23,'TABLA ANTIG.'!$A$4:$A$39,'TABLA ANTIG.'!$B$4:$B$39)*(P23)</f>
        <v>0</v>
      </c>
      <c r="R23" s="98">
        <v>0</v>
      </c>
      <c r="S23" s="545">
        <f>IF(C23&gt;11,IF(H23&gt;1134,'DATOS REFERENCIALES'!$C$18,'DATOS REFERENCIALES'!$C$18/20*D23),0)</f>
        <v>0</v>
      </c>
      <c r="T23" s="159">
        <f t="shared" si="9"/>
        <v>1021.9944368421054</v>
      </c>
      <c r="U23" s="27">
        <f t="shared" si="2"/>
        <v>112.41938805263159</v>
      </c>
      <c r="V23" s="27">
        <f t="shared" si="3"/>
        <v>30.659833105263161</v>
      </c>
      <c r="W23" s="27">
        <f t="shared" si="3"/>
        <v>30.659833105263161</v>
      </c>
      <c r="X23" s="27">
        <f t="shared" si="4"/>
        <v>20.439888736842107</v>
      </c>
      <c r="Y23" s="27">
        <f t="shared" si="5"/>
        <v>45.989749657894741</v>
      </c>
      <c r="Z23" s="27">
        <f t="shared" si="6"/>
        <v>240.16869265789478</v>
      </c>
      <c r="AA23" s="79">
        <f t="shared" si="7"/>
        <v>781.82574418421063</v>
      </c>
      <c r="AB23" s="147">
        <f>IF(D23&gt;38,'DATOS REFERENCIALES'!$D$10,'DATOS REFERENCIALES'!$E$10*D23)</f>
        <v>119.47368421052632</v>
      </c>
      <c r="AC23" s="654">
        <f>IF(C23&lt;12,IF(H23&gt;1134,'DATOS REFERENCIALES'!$C$17,'DATOS REFERENCIALES'!$C$17/20*D23),0)</f>
        <v>129.19999999999999</v>
      </c>
      <c r="AD23" s="79">
        <f>IF(D23&gt;41,IF((('DATOS REFERENCIALES'!$D$9)-((T23-S23)-(Z23-S23*0.235)+(AB23)+(AC23)))&lt;0,0,((('DATOS REFERENCIALES'!$D$9)-((T23-S23)-(Z23-S23*0.235)+(AB23)+(AC23))))),IF((('DATOS REFERENCIALES'!$E$9*D23)-(((T23-S23)-(Z23-S23*0.235)+(AB23)+(AC23))))&lt;0,0,('DATOS REFERENCIALES'!$E$9*D23)-((T23-S23)-(Z23-S23*0.235)+(AB23)+(AC23))))</f>
        <v>396.40057160526317</v>
      </c>
      <c r="AE23" s="130">
        <f t="shared" si="8"/>
        <v>1426.9</v>
      </c>
      <c r="AF23" s="91">
        <f>IF(D23&gt;'DATOS REFERENCIALES'!$K$13,'DATOS REFERENCIALES'!$D$13,'DATOS REFERENCIALES'!$G$13*D23)</f>
        <v>100.83329999999999</v>
      </c>
      <c r="AG23" s="79" t="e">
        <f>IF(D23&gt;'DATOS REFERENCIALES'!#REF!,'DATOS REFERENCIALES'!#REF!,('DATOS REFERENCIALES'!#REF!*D23))</f>
        <v>#REF!</v>
      </c>
      <c r="AH23" s="527">
        <f t="shared" si="13"/>
        <v>100.83329999999999</v>
      </c>
      <c r="AI23" s="79">
        <f>IF(D23&gt;'DATOS REFERENCIALES'!$K$12,'DATOS REFERENCIALES'!$D$12,'DATOS REFERENCIALES'!$G$12*D23)</f>
        <v>17.5</v>
      </c>
      <c r="AJ23" s="106">
        <f t="shared" si="14"/>
        <v>1646.0666000000001</v>
      </c>
      <c r="AK23" s="587">
        <f>IF(D23&gt;'DATOS REFERENCIALES'!$K$16,'DATOS REFERENCIALES'!$D$16,'DATOS REFERENCIALES'!$G$16*D23)</f>
        <v>168.52541666666667</v>
      </c>
      <c r="AL23" s="587">
        <f t="shared" si="10"/>
        <v>39.603472916666668</v>
      </c>
      <c r="AM23" s="587">
        <f t="shared" si="11"/>
        <v>128.92194375</v>
      </c>
      <c r="AN23" s="587">
        <f t="shared" si="12"/>
        <v>1774.9885437500002</v>
      </c>
      <c r="AO23" s="17"/>
      <c r="AP23" s="17"/>
      <c r="AT23" s="8"/>
    </row>
    <row r="24" spans="1:46" s="1" customFormat="1" ht="21.75" customHeight="1" thickBot="1" x14ac:dyDescent="0.25">
      <c r="A24" s="75">
        <v>3598</v>
      </c>
      <c r="B24" s="86" t="s">
        <v>100</v>
      </c>
      <c r="C24" s="24">
        <v>0</v>
      </c>
      <c r="D24" s="57">
        <v>1</v>
      </c>
      <c r="E24" s="24"/>
      <c r="F24" s="24"/>
      <c r="G24" s="53">
        <v>65</v>
      </c>
      <c r="H24" s="57">
        <f t="shared" si="0"/>
        <v>65</v>
      </c>
      <c r="I24" s="57"/>
      <c r="J24" s="57"/>
      <c r="K24" s="90">
        <f>(H24*'DATOS REFERENCIALES'!$C$4)*D24</f>
        <v>623.72700000000009</v>
      </c>
      <c r="L24" s="90"/>
      <c r="M24" s="90"/>
      <c r="N24" s="80">
        <f>LOOKUP(C24,'TABLA ANTIG.'!$A$4:$A$39,'TABLA ANTIG.'!$B$4:$B$39)*(K24)</f>
        <v>0</v>
      </c>
      <c r="O24" s="99">
        <f t="shared" si="1"/>
        <v>62.372700000000009</v>
      </c>
      <c r="P24" s="90">
        <f>IF(D24&gt;48,'DATOS REFERENCIALES'!$D$8+('DATOS REFERENCIALES'!$F$8*10),IF(D24&lt;39,'DATOS REFERENCIALES'!$E$8*D24,((D24-'DATOS REFERENCIALES'!$I$8)*'DATOS REFERENCIALES'!$F$8)+'DATOS REFERENCIALES'!$D$8))</f>
        <v>335.89473684210526</v>
      </c>
      <c r="Q24" s="131">
        <f>LOOKUP(C24,'TABLA ANTIG.'!$A$4:$A$39,'TABLA ANTIG.'!$B$4:$B$39)*(P24)</f>
        <v>0</v>
      </c>
      <c r="R24" s="99">
        <v>0</v>
      </c>
      <c r="S24" s="551">
        <f>IF(C24&gt;11,IF(H24&gt;1134,'DATOS REFERENCIALES'!$C$18,'DATOS REFERENCIALES'!$C$18/20*D24),0)</f>
        <v>0</v>
      </c>
      <c r="T24" s="206">
        <f t="shared" si="9"/>
        <v>1021.9944368421054</v>
      </c>
      <c r="U24" s="28">
        <f t="shared" si="2"/>
        <v>112.41938805263159</v>
      </c>
      <c r="V24" s="28">
        <f t="shared" si="3"/>
        <v>30.659833105263161</v>
      </c>
      <c r="W24" s="28">
        <f t="shared" si="3"/>
        <v>30.659833105263161</v>
      </c>
      <c r="X24" s="28">
        <f t="shared" si="4"/>
        <v>20.439888736842107</v>
      </c>
      <c r="Y24" s="28">
        <f t="shared" si="5"/>
        <v>45.989749657894741</v>
      </c>
      <c r="Z24" s="28">
        <f t="shared" si="6"/>
        <v>240.16869265789478</v>
      </c>
      <c r="AA24" s="80">
        <f t="shared" si="7"/>
        <v>781.82574418421063</v>
      </c>
      <c r="AB24" s="150">
        <f>IF(D24&gt;38,'DATOS REFERENCIALES'!$D$10,'DATOS REFERENCIALES'!$E$10*D24)</f>
        <v>119.47368421052632</v>
      </c>
      <c r="AC24" s="655">
        <f>IF(C24&lt;12,IF(H24&gt;1134,'DATOS REFERENCIALES'!$C$17,'DATOS REFERENCIALES'!$C$17/20*D24),0)</f>
        <v>129.19999999999999</v>
      </c>
      <c r="AD24" s="80">
        <f>IF(D24&gt;41,IF((('DATOS REFERENCIALES'!$D$9)-((T24-S24)-(Z24-S24*0.235)+(AB24)+(AC24)))&lt;0,0,((('DATOS REFERENCIALES'!$D$9)-((T24-S24)-(Z24-S24*0.235)+(AB24)+(AC24))))),IF((('DATOS REFERENCIALES'!$E$9*D24)-(((T24-S24)-(Z24-S24*0.235)+(AB24)+(AC24))))&lt;0,0,('DATOS REFERENCIALES'!$E$9*D24)-((T24-S24)-(Z24-S24*0.235)+(AB24)+(AC24))))</f>
        <v>396.40057160526317</v>
      </c>
      <c r="AE24" s="131">
        <f t="shared" si="8"/>
        <v>1426.9</v>
      </c>
      <c r="AF24" s="92">
        <f>IF(D24&gt;'DATOS REFERENCIALES'!$K$13,'DATOS REFERENCIALES'!$D$13,'DATOS REFERENCIALES'!$G$13*D24)</f>
        <v>100.83329999999999</v>
      </c>
      <c r="AG24" s="80" t="e">
        <f>IF(D24&gt;'DATOS REFERENCIALES'!#REF!,'DATOS REFERENCIALES'!#REF!,('DATOS REFERENCIALES'!#REF!*D24))</f>
        <v>#REF!</v>
      </c>
      <c r="AH24" s="640">
        <f t="shared" si="13"/>
        <v>100.83329999999999</v>
      </c>
      <c r="AI24" s="80">
        <f>IF(D24&gt;'DATOS REFERENCIALES'!$K$12,'DATOS REFERENCIALES'!$D$12,'DATOS REFERENCIALES'!$G$12*D24)</f>
        <v>17.5</v>
      </c>
      <c r="AJ24" s="148">
        <f t="shared" si="14"/>
        <v>1646.0666000000001</v>
      </c>
      <c r="AK24" s="589">
        <f>IF(D24&gt;'DATOS REFERENCIALES'!$K$16,'DATOS REFERENCIALES'!$D$16,'DATOS REFERENCIALES'!$G$16*D24)</f>
        <v>168.52541666666667</v>
      </c>
      <c r="AL24" s="589">
        <f t="shared" si="10"/>
        <v>39.603472916666668</v>
      </c>
      <c r="AM24" s="589">
        <f t="shared" si="11"/>
        <v>128.92194375</v>
      </c>
      <c r="AN24" s="589">
        <f t="shared" si="12"/>
        <v>1774.9885437500002</v>
      </c>
      <c r="AO24" s="17"/>
      <c r="AP24" s="17"/>
      <c r="AT24" s="8"/>
    </row>
    <row r="25" spans="1:46" s="1" customFormat="1" ht="21.75" customHeight="1" thickBot="1" x14ac:dyDescent="0.35">
      <c r="A25" s="127"/>
      <c r="B25" s="71"/>
      <c r="C25" s="72"/>
      <c r="D25" s="72"/>
      <c r="E25" s="72"/>
      <c r="F25" s="72"/>
      <c r="G25" s="67"/>
      <c r="H25" s="44"/>
      <c r="I25" s="44"/>
      <c r="J25" s="44"/>
      <c r="K25" s="41"/>
      <c r="L25" s="41"/>
      <c r="M25" s="41"/>
      <c r="N25" s="42"/>
      <c r="O25" s="73"/>
      <c r="P25" s="41"/>
      <c r="Q25" s="42"/>
      <c r="R25" s="73"/>
      <c r="S25" s="73"/>
      <c r="T25" s="73"/>
      <c r="U25" s="73"/>
      <c r="V25" s="73"/>
      <c r="W25" s="73"/>
      <c r="X25" s="73"/>
      <c r="Y25" s="73"/>
      <c r="Z25" s="73"/>
      <c r="AA25" s="45"/>
      <c r="AB25" s="45"/>
      <c r="AC25" s="45"/>
      <c r="AD25" s="45"/>
      <c r="AE25" s="45"/>
      <c r="AF25" s="47"/>
      <c r="AG25" s="47"/>
      <c r="AH25" s="47"/>
      <c r="AI25" s="45"/>
      <c r="AJ25" s="45"/>
      <c r="AK25" s="31"/>
      <c r="AL25" s="16"/>
      <c r="AM25" s="17"/>
      <c r="AN25" s="13"/>
      <c r="AO25" s="17"/>
      <c r="AP25" s="17"/>
      <c r="AT25" s="8"/>
    </row>
    <row r="26" spans="1:46" s="1" customFormat="1" ht="21" thickBot="1" x14ac:dyDescent="0.35">
      <c r="A26" s="94" t="s">
        <v>136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4" t="s">
        <v>136</v>
      </c>
      <c r="AF26" s="95"/>
      <c r="AG26" s="95"/>
      <c r="AH26" s="95"/>
      <c r="AI26" s="95"/>
      <c r="AJ26" s="95"/>
      <c r="AK26" s="13"/>
      <c r="AL26" s="574">
        <v>0.23499999999999999</v>
      </c>
      <c r="AM26" s="13"/>
      <c r="AN26" s="16"/>
      <c r="AO26" s="17"/>
      <c r="AP26" s="17"/>
    </row>
    <row r="27" spans="1:46" s="2" customFormat="1" ht="12.75" customHeight="1" thickBot="1" x14ac:dyDescent="0.25">
      <c r="A27" s="726" t="s">
        <v>1</v>
      </c>
      <c r="B27" s="726" t="s">
        <v>0</v>
      </c>
      <c r="C27" s="658" t="s">
        <v>77</v>
      </c>
      <c r="D27" s="658" t="s">
        <v>119</v>
      </c>
      <c r="E27" s="658" t="s">
        <v>127</v>
      </c>
      <c r="F27" s="658" t="s">
        <v>113</v>
      </c>
      <c r="G27" s="658" t="s">
        <v>102</v>
      </c>
      <c r="H27" s="658" t="s">
        <v>79</v>
      </c>
      <c r="I27" s="658" t="s">
        <v>147</v>
      </c>
      <c r="J27" s="684" t="s">
        <v>146</v>
      </c>
      <c r="K27" s="697" t="s">
        <v>121</v>
      </c>
      <c r="L27" s="697" t="s">
        <v>145</v>
      </c>
      <c r="M27" s="697" t="s">
        <v>146</v>
      </c>
      <c r="N27" s="686" t="s">
        <v>85</v>
      </c>
      <c r="O27" s="686" t="s">
        <v>120</v>
      </c>
      <c r="P27" s="697" t="s">
        <v>86</v>
      </c>
      <c r="Q27" s="686" t="s">
        <v>101</v>
      </c>
      <c r="R27" s="686" t="s">
        <v>84</v>
      </c>
      <c r="S27" s="658" t="s">
        <v>209</v>
      </c>
      <c r="T27" s="686" t="s">
        <v>69</v>
      </c>
      <c r="U27" s="721" t="s">
        <v>59</v>
      </c>
      <c r="V27" s="722"/>
      <c r="W27" s="722"/>
      <c r="X27" s="722"/>
      <c r="Y27" s="722"/>
      <c r="Z27" s="696" t="s">
        <v>68</v>
      </c>
      <c r="AA27" s="658" t="s">
        <v>89</v>
      </c>
      <c r="AB27" s="658" t="s">
        <v>88</v>
      </c>
      <c r="AC27" s="658" t="s">
        <v>208</v>
      </c>
      <c r="AD27" s="658" t="s">
        <v>87</v>
      </c>
      <c r="AE27" s="658" t="s">
        <v>91</v>
      </c>
      <c r="AF27" s="658" t="s">
        <v>90</v>
      </c>
      <c r="AG27" s="658" t="s">
        <v>190</v>
      </c>
      <c r="AH27" s="658" t="s">
        <v>196</v>
      </c>
      <c r="AI27" s="696" t="s">
        <v>144</v>
      </c>
      <c r="AJ27" s="658" t="s">
        <v>92</v>
      </c>
      <c r="AK27" s="658" t="s">
        <v>186</v>
      </c>
      <c r="AL27" s="682" t="s">
        <v>68</v>
      </c>
      <c r="AM27" s="658" t="s">
        <v>188</v>
      </c>
      <c r="AN27" s="658" t="s">
        <v>189</v>
      </c>
      <c r="AO27" s="17"/>
      <c r="AP27" s="17"/>
    </row>
    <row r="28" spans="1:46" s="2" customFormat="1" ht="89.25" customHeight="1" thickBot="1" x14ac:dyDescent="0.25">
      <c r="A28" s="727"/>
      <c r="B28" s="727"/>
      <c r="C28" s="679"/>
      <c r="D28" s="679"/>
      <c r="E28" s="679"/>
      <c r="F28" s="679"/>
      <c r="G28" s="679"/>
      <c r="H28" s="679"/>
      <c r="I28" s="679"/>
      <c r="J28" s="685"/>
      <c r="K28" s="698"/>
      <c r="L28" s="698"/>
      <c r="M28" s="698"/>
      <c r="N28" s="687"/>
      <c r="O28" s="687"/>
      <c r="P28" s="698"/>
      <c r="Q28" s="687"/>
      <c r="R28" s="687"/>
      <c r="S28" s="679"/>
      <c r="T28" s="687"/>
      <c r="U28" s="77" t="s">
        <v>140</v>
      </c>
      <c r="V28" s="104" t="s">
        <v>61</v>
      </c>
      <c r="W28" s="104" t="s">
        <v>62</v>
      </c>
      <c r="X28" s="104" t="s">
        <v>63</v>
      </c>
      <c r="Y28" s="104" t="s">
        <v>64</v>
      </c>
      <c r="Z28" s="720"/>
      <c r="AA28" s="679"/>
      <c r="AB28" s="679"/>
      <c r="AC28" s="659"/>
      <c r="AD28" s="679"/>
      <c r="AE28" s="679"/>
      <c r="AF28" s="679"/>
      <c r="AG28" s="679"/>
      <c r="AH28" s="679"/>
      <c r="AI28" s="679"/>
      <c r="AJ28" s="679"/>
      <c r="AK28" s="679"/>
      <c r="AL28" s="683"/>
      <c r="AM28" s="679"/>
      <c r="AN28" s="679"/>
      <c r="AO28" s="17"/>
      <c r="AP28" s="17"/>
    </row>
    <row r="29" spans="1:46" s="5" customFormat="1" ht="21.75" customHeight="1" x14ac:dyDescent="0.2">
      <c r="A29" s="365">
        <v>3503</v>
      </c>
      <c r="B29" s="516" t="s">
        <v>23</v>
      </c>
      <c r="C29" s="337">
        <v>0</v>
      </c>
      <c r="D29" s="517"/>
      <c r="E29" s="517"/>
      <c r="F29" s="517"/>
      <c r="G29" s="407">
        <v>3422</v>
      </c>
      <c r="H29" s="337">
        <f>SUM(G29:G29)</f>
        <v>3422</v>
      </c>
      <c r="I29" s="337"/>
      <c r="J29" s="337"/>
      <c r="K29" s="342">
        <f>H29*'DATOS REFERENCIALES'!$C$4</f>
        <v>32836.827600000004</v>
      </c>
      <c r="L29" s="342"/>
      <c r="M29" s="342"/>
      <c r="N29" s="344">
        <f>LOOKUP(C29,'TABLA ANTIG.'!$A$4:$A$39,'TABLA ANTIG.'!$B$4:$B$39)*(K29)</f>
        <v>0</v>
      </c>
      <c r="O29" s="344">
        <f>K29*0.1</f>
        <v>3283.6827600000006</v>
      </c>
      <c r="P29" s="342">
        <f>'DATOS REFERENCIALES'!$C$8</f>
        <v>6382</v>
      </c>
      <c r="Q29" s="344">
        <f>LOOKUP(C29,'TABLA ANTIG.'!$A$4:$A$39,'TABLA ANTIG.'!$B$4:$B$39)*(P29)</f>
        <v>0</v>
      </c>
      <c r="R29" s="518">
        <v>0</v>
      </c>
      <c r="S29" s="422">
        <f>IF(C29&gt;11,IF(H29&gt;1134,'DATOS REFERENCIALES'!$C$18,'DATOS REFERENCIALES'!$C$18/1135*H29),0)</f>
        <v>0</v>
      </c>
      <c r="T29" s="347">
        <f>K29+N29+O29+P29+Q29+R29+S29</f>
        <v>42502.510360000007</v>
      </c>
      <c r="U29" s="518">
        <f t="shared" ref="U29:U35" si="15">$T29*11%</f>
        <v>4675.2761396000005</v>
      </c>
      <c r="V29" s="518">
        <f t="shared" ref="V29:W35" si="16">$T29*3%</f>
        <v>1275.0753108000001</v>
      </c>
      <c r="W29" s="518">
        <f t="shared" si="16"/>
        <v>1275.0753108000001</v>
      </c>
      <c r="X29" s="518">
        <f t="shared" ref="X29:X35" si="17">$T29*2%</f>
        <v>850.05020720000016</v>
      </c>
      <c r="Y29" s="518">
        <f t="shared" ref="Y29:Y35" si="18">$T29*4.5%</f>
        <v>1912.6129662000003</v>
      </c>
      <c r="Z29" s="344">
        <f t="shared" ref="Z29:Z35" si="19">SUM(U29:Y29)</f>
        <v>9988.0899346000006</v>
      </c>
      <c r="AA29" s="518">
        <f t="shared" ref="AA29:AA35" si="20">T29-Z29</f>
        <v>32514.420425400007</v>
      </c>
      <c r="AB29" s="344">
        <f>'DATOS REFERENCIALES'!$C$10</f>
        <v>2270</v>
      </c>
      <c r="AC29" s="347">
        <f>IF(C29&lt;12,IF(H29&gt;1134,'DATOS REFERENCIALES'!$C$17,'DATOS REFERENCIALES'!$C$17/1135*H29),0)</f>
        <v>2584</v>
      </c>
      <c r="AD29" s="633">
        <f>IF((IF(H29&gt;1134,('DATOS REFERENCIALES'!$C$9-(T29-U29-V29-W29-X29-Y29+AB29+AC29-L30-L29*0.235)),(('DATOS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0</v>
      </c>
      <c r="AE29" s="518">
        <f t="shared" ref="AE29:AE35" si="21">SUM(AA29:AD29)</f>
        <v>37368.420425400007</v>
      </c>
      <c r="AF29" s="349">
        <f>'DATOS REFERENCIALES'!$C$13</f>
        <v>1210</v>
      </c>
      <c r="AG29" s="370" t="e">
        <f>IF($H29&gt;1119,'DATOS REFERENCIALES'!#REF!,'DATOS REFERENCIALES'!#REF!/1120*$H29)</f>
        <v>#REF!</v>
      </c>
      <c r="AH29" s="370">
        <f>+AF29</f>
        <v>1210</v>
      </c>
      <c r="AI29" s="344">
        <f>'DATOS REFERENCIALES'!$C$12</f>
        <v>210</v>
      </c>
      <c r="AJ29" s="676">
        <f>+AE29+AE30+AF29+AH29+AI29</f>
        <v>43452.444228575005</v>
      </c>
      <c r="AK29" s="753">
        <f>'DATOS REFERENCIALES'!$C$16</f>
        <v>2022.3050000000001</v>
      </c>
      <c r="AL29" s="753">
        <f>AK29*$AL$26</f>
        <v>475.24167499999999</v>
      </c>
      <c r="AM29" s="753">
        <f>AK29-AL29</f>
        <v>1547.0633250000001</v>
      </c>
      <c r="AN29" s="751">
        <f>AJ29+AM29</f>
        <v>44999.507553575007</v>
      </c>
      <c r="AO29" s="17"/>
      <c r="AP29" s="17"/>
      <c r="AT29" s="8"/>
    </row>
    <row r="30" spans="1:46" s="5" customFormat="1" ht="26.25" customHeight="1" thickBot="1" x14ac:dyDescent="0.25">
      <c r="A30" s="371">
        <v>3503</v>
      </c>
      <c r="B30" s="519" t="s">
        <v>23</v>
      </c>
      <c r="C30" s="352">
        <f>IF(C29&gt;0,C29,0)</f>
        <v>0</v>
      </c>
      <c r="D30" s="520"/>
      <c r="E30" s="520"/>
      <c r="F30" s="520"/>
      <c r="G30" s="409"/>
      <c r="H30" s="352"/>
      <c r="I30" s="352">
        <f>256.65/'DATOS REFERENCIALES'!$I$4*'DATOS REFERENCIALES'!$J$4</f>
        <v>427.75</v>
      </c>
      <c r="J30" s="356"/>
      <c r="K30" s="357"/>
      <c r="L30" s="357">
        <f>I30*'DATOS REFERENCIALES'!$C$4</f>
        <v>4104.6034500000005</v>
      </c>
      <c r="M30" s="357"/>
      <c r="N30" s="359">
        <f>LOOKUP(C30,'TABLA ANTIG.'!$A$4:$A$39,'TABLA ANTIG.'!$B$4:$B$39)*(L30+M30)</f>
        <v>0</v>
      </c>
      <c r="O30" s="359">
        <f>(L30+M30)*0.1</f>
        <v>410.46034500000007</v>
      </c>
      <c r="P30" s="357"/>
      <c r="Q30" s="359"/>
      <c r="R30" s="359"/>
      <c r="S30" s="362"/>
      <c r="T30" s="362">
        <f>L30+M30+N30+O30+P30+Q30+R30</f>
        <v>4515.0637950000009</v>
      </c>
      <c r="U30" s="359">
        <f t="shared" si="15"/>
        <v>496.65701745000013</v>
      </c>
      <c r="V30" s="359">
        <f t="shared" si="16"/>
        <v>135.45191385000001</v>
      </c>
      <c r="W30" s="362">
        <f t="shared" si="16"/>
        <v>135.45191385000001</v>
      </c>
      <c r="X30" s="359">
        <f t="shared" si="17"/>
        <v>90.301275900000022</v>
      </c>
      <c r="Y30" s="359">
        <f t="shared" si="18"/>
        <v>203.17787077500003</v>
      </c>
      <c r="Z30" s="359">
        <f t="shared" si="19"/>
        <v>1061.0399918250002</v>
      </c>
      <c r="AA30" s="363">
        <f t="shared" si="20"/>
        <v>3454.0238031750005</v>
      </c>
      <c r="AB30" s="359"/>
      <c r="AC30" s="362"/>
      <c r="AD30" s="359"/>
      <c r="AE30" s="358">
        <f t="shared" si="21"/>
        <v>3454.0238031750005</v>
      </c>
      <c r="AF30" s="364"/>
      <c r="AG30" s="376"/>
      <c r="AH30" s="376"/>
      <c r="AI30" s="359"/>
      <c r="AJ30" s="677"/>
      <c r="AK30" s="754"/>
      <c r="AL30" s="754"/>
      <c r="AM30" s="754"/>
      <c r="AN30" s="752"/>
      <c r="AO30" s="17"/>
      <c r="AP30" s="17"/>
      <c r="AT30" s="8"/>
    </row>
    <row r="31" spans="1:46" s="5" customFormat="1" ht="21.75" customHeight="1" x14ac:dyDescent="0.2">
      <c r="A31" s="395">
        <v>3504</v>
      </c>
      <c r="B31" s="521" t="s">
        <v>38</v>
      </c>
      <c r="C31" s="276">
        <v>0</v>
      </c>
      <c r="D31" s="522"/>
      <c r="E31" s="522"/>
      <c r="F31" s="522"/>
      <c r="G31" s="277">
        <v>2874</v>
      </c>
      <c r="H31" s="276">
        <f>SUM(G31:G31)</f>
        <v>2874</v>
      </c>
      <c r="I31" s="276"/>
      <c r="J31" s="276"/>
      <c r="K31" s="278">
        <f>H31*'DATOS REFERENCIALES'!$C$4</f>
        <v>27578.3292</v>
      </c>
      <c r="L31" s="278"/>
      <c r="M31" s="278"/>
      <c r="N31" s="280">
        <f>LOOKUP(C31,'TABLA ANTIG.'!$A$4:$A$39,'TABLA ANTIG.'!$B$4:$B$39)*(K31)</f>
        <v>0</v>
      </c>
      <c r="O31" s="280">
        <f>K31*0.1</f>
        <v>2757.8329200000003</v>
      </c>
      <c r="P31" s="278">
        <f>'DATOS REFERENCIALES'!$C$8</f>
        <v>6382</v>
      </c>
      <c r="Q31" s="280">
        <f>LOOKUP(C31,'TABLA ANTIG.'!$A$4:$A$39,'TABLA ANTIG.'!$B$4:$B$39)*(P31)</f>
        <v>0</v>
      </c>
      <c r="R31" s="523">
        <v>0</v>
      </c>
      <c r="S31" s="415">
        <f>IF(C31&gt;11,IF(H31&gt;1134,'DATOS REFERENCIALES'!$C$18,'DATOS REFERENCIALES'!$C$18/1135*H31),0)</f>
        <v>0</v>
      </c>
      <c r="T31" s="283">
        <f>K31+N31+O31+P31+Q31+R31+S31</f>
        <v>36718.162120000001</v>
      </c>
      <c r="U31" s="523">
        <f t="shared" si="15"/>
        <v>4038.9978332000001</v>
      </c>
      <c r="V31" s="523">
        <f t="shared" si="16"/>
        <v>1101.5448636000001</v>
      </c>
      <c r="W31" s="523">
        <f t="shared" si="16"/>
        <v>1101.5448636000001</v>
      </c>
      <c r="X31" s="523">
        <f t="shared" si="17"/>
        <v>734.36324239999999</v>
      </c>
      <c r="Y31" s="523">
        <f t="shared" si="18"/>
        <v>1652.3172953999999</v>
      </c>
      <c r="Z31" s="280">
        <f t="shared" si="19"/>
        <v>8628.7680982000002</v>
      </c>
      <c r="AA31" s="523">
        <f t="shared" si="20"/>
        <v>28089.394021799999</v>
      </c>
      <c r="AB31" s="280">
        <f>'DATOS REFERENCIALES'!$C$10</f>
        <v>2270</v>
      </c>
      <c r="AC31" s="280">
        <f>IF(C31&lt;12,IF(H31&gt;1134,'DATOS REFERENCIALES'!$C$17,'DATOS REFERENCIALES'!$C$17/1135*H31),0)</f>
        <v>2584</v>
      </c>
      <c r="AD31" s="415">
        <f>IF((IF(H31&gt;1134,('DATOS REFERENCIALES'!$C$9-(T31-U31-V31-W31-X31-Y31+AB31+AC31-L32-L31*0.235)),(('DATOS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0</v>
      </c>
      <c r="AE31" s="523">
        <f t="shared" si="21"/>
        <v>32943.394021799999</v>
      </c>
      <c r="AF31" s="285">
        <f>'DATOS REFERENCIALES'!$C$13</f>
        <v>1210</v>
      </c>
      <c r="AG31" s="399" t="e">
        <f>IF($H31&gt;1119,'DATOS REFERENCIALES'!#REF!,'DATOS REFERENCIALES'!#REF!/1120*$H31)</f>
        <v>#REF!</v>
      </c>
      <c r="AH31" s="285">
        <f>+AF31</f>
        <v>1210</v>
      </c>
      <c r="AI31" s="280">
        <f>'DATOS REFERENCIALES'!$C$12</f>
        <v>210</v>
      </c>
      <c r="AJ31" s="664">
        <f>+AE31+AE32+AF31+AH31+AI31</f>
        <v>38474.289524524997</v>
      </c>
      <c r="AK31" s="755">
        <f>'DATOS REFERENCIALES'!$C$16</f>
        <v>2022.3050000000001</v>
      </c>
      <c r="AL31" s="755">
        <f>AK31*$AL$26</f>
        <v>475.24167499999999</v>
      </c>
      <c r="AM31" s="755">
        <f>AK31-AL31</f>
        <v>1547.0633250000001</v>
      </c>
      <c r="AN31" s="747">
        <f>AJ31+AM31</f>
        <v>40021.352849524999</v>
      </c>
      <c r="AO31" s="17"/>
      <c r="AP31" s="17"/>
      <c r="AT31" s="8"/>
    </row>
    <row r="32" spans="1:46" s="5" customFormat="1" ht="21.75" customHeight="1" thickBot="1" x14ac:dyDescent="0.25">
      <c r="A32" s="400">
        <v>3504</v>
      </c>
      <c r="B32" s="524" t="s">
        <v>38</v>
      </c>
      <c r="C32" s="288">
        <f>IF(C31&gt;0,C31,0)</f>
        <v>0</v>
      </c>
      <c r="D32" s="525"/>
      <c r="E32" s="525"/>
      <c r="F32" s="525"/>
      <c r="G32" s="418"/>
      <c r="H32" s="328"/>
      <c r="I32" s="328">
        <f>215.55/'DATOS REFERENCIALES'!$I$4*'DATOS REFERENCIALES'!$J$4</f>
        <v>359.25</v>
      </c>
      <c r="J32" s="419"/>
      <c r="K32" s="332"/>
      <c r="L32" s="332">
        <f>I32*'DATOS REFERENCIALES'!$C$4</f>
        <v>3447.29115</v>
      </c>
      <c r="M32" s="332"/>
      <c r="N32" s="299">
        <f>LOOKUP(C32,'TABLA ANTIG.'!$A$4:$A$39,'TABLA ANTIG.'!$B$4:$B$39)*(L32+M32)</f>
        <v>0</v>
      </c>
      <c r="O32" s="299">
        <f>(L32+M32)*0.1</f>
        <v>344.72911500000004</v>
      </c>
      <c r="P32" s="332"/>
      <c r="Q32" s="299"/>
      <c r="R32" s="299"/>
      <c r="S32" s="296"/>
      <c r="T32" s="333">
        <f>L32+M32+N32+O32+P32+Q32+R32</f>
        <v>3792.0202650000001</v>
      </c>
      <c r="U32" s="299">
        <f t="shared" si="15"/>
        <v>417.12222915000001</v>
      </c>
      <c r="V32" s="299">
        <f t="shared" si="16"/>
        <v>113.76060794999999</v>
      </c>
      <c r="W32" s="333">
        <f t="shared" si="16"/>
        <v>113.76060794999999</v>
      </c>
      <c r="X32" s="299">
        <f t="shared" si="17"/>
        <v>75.8404053</v>
      </c>
      <c r="Y32" s="299">
        <f t="shared" si="18"/>
        <v>170.64091192500001</v>
      </c>
      <c r="Z32" s="299">
        <f t="shared" si="19"/>
        <v>891.12476227499997</v>
      </c>
      <c r="AA32" s="334">
        <f t="shared" si="20"/>
        <v>2900.8955027250004</v>
      </c>
      <c r="AB32" s="299"/>
      <c r="AC32" s="648"/>
      <c r="AD32" s="294"/>
      <c r="AE32" s="297">
        <f t="shared" si="21"/>
        <v>2900.8955027250004</v>
      </c>
      <c r="AF32" s="526"/>
      <c r="AG32" s="433"/>
      <c r="AH32" s="526"/>
      <c r="AI32" s="299"/>
      <c r="AJ32" s="665"/>
      <c r="AK32" s="756"/>
      <c r="AL32" s="756"/>
      <c r="AM32" s="756"/>
      <c r="AN32" s="773"/>
      <c r="AO32" s="17"/>
      <c r="AP32" s="17"/>
      <c r="AT32" s="8"/>
    </row>
    <row r="33" spans="1:46" s="5" customFormat="1" ht="21.75" customHeight="1" x14ac:dyDescent="0.2">
      <c r="A33" s="160">
        <v>3582</v>
      </c>
      <c r="B33" s="250" t="s">
        <v>42</v>
      </c>
      <c r="C33" s="247">
        <v>0</v>
      </c>
      <c r="D33" s="247"/>
      <c r="E33" s="247"/>
      <c r="F33" s="247"/>
      <c r="G33" s="163">
        <v>952</v>
      </c>
      <c r="H33" s="119">
        <f>SUM(G33:G33)</f>
        <v>952</v>
      </c>
      <c r="I33" s="119"/>
      <c r="J33" s="119"/>
      <c r="K33" s="248">
        <f>H33*'DATOS REFERENCIALES'!$C$4</f>
        <v>9135.2016000000003</v>
      </c>
      <c r="L33" s="248"/>
      <c r="M33" s="248"/>
      <c r="N33" s="106">
        <f>LOOKUP(C33,'TABLA ANTIG.'!$A$4:$A$39,'TABLA ANTIG.'!$B$4:$B$39)*(K33)</f>
        <v>0</v>
      </c>
      <c r="O33" s="106">
        <f>K33*0.1</f>
        <v>913.52016000000003</v>
      </c>
      <c r="P33" s="248">
        <f>'DATOS REFERENCIALES'!$C$8</f>
        <v>6382</v>
      </c>
      <c r="Q33" s="106">
        <f>LOOKUP(C33,'TABLA ANTIG.'!$A$4:$A$39,'TABLA ANTIG.'!$B$4:$B$39)*(P33)</f>
        <v>0</v>
      </c>
      <c r="R33" s="546">
        <v>0</v>
      </c>
      <c r="S33" s="78">
        <f>IF(C33&gt;11,IF(H33&gt;1134,'DATOS REFERENCIALES'!$C$18,'DATOS REFERENCIALES'!$C$18/1135*H33),0)</f>
        <v>0</v>
      </c>
      <c r="T33" s="205">
        <f>K33+N33+O33+P33+Q33+R33+S33</f>
        <v>16430.72176</v>
      </c>
      <c r="U33" s="249">
        <f t="shared" si="15"/>
        <v>1807.3793936</v>
      </c>
      <c r="V33" s="249">
        <f t="shared" si="16"/>
        <v>492.9216528</v>
      </c>
      <c r="W33" s="249">
        <f t="shared" si="16"/>
        <v>492.9216528</v>
      </c>
      <c r="X33" s="249">
        <f t="shared" si="17"/>
        <v>328.6144352</v>
      </c>
      <c r="Y33" s="249">
        <f t="shared" si="18"/>
        <v>739.38247920000003</v>
      </c>
      <c r="Z33" s="106">
        <f t="shared" si="19"/>
        <v>3861.2196136000002</v>
      </c>
      <c r="AA33" s="249">
        <f t="shared" si="20"/>
        <v>12569.5021464</v>
      </c>
      <c r="AB33" s="149">
        <f>'DATOS REFERENCIALES'!$C$10</f>
        <v>2270</v>
      </c>
      <c r="AC33" s="579">
        <f>IF(C33&lt;12,IF(H33&gt;1134,'DATOS REFERENCIALES'!$C$17,'DATOS REFERENCIALES'!$C$17/1135*H33),0)</f>
        <v>2167.3726872246693</v>
      </c>
      <c r="AD33" s="543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6929.8441091066052</v>
      </c>
      <c r="AE33" s="253">
        <f t="shared" si="21"/>
        <v>23936.718942731273</v>
      </c>
      <c r="AF33" s="527">
        <f>'DATOS REFERENCIALES'!$C$13</f>
        <v>1210</v>
      </c>
      <c r="AG33" s="269" t="e">
        <f>IF($H33&gt;1119,'DATOS REFERENCIALES'!#REF!,'DATOS REFERENCIALES'!#REF!/1120*$H33)</f>
        <v>#REF!</v>
      </c>
      <c r="AH33" s="271">
        <f>+AF33</f>
        <v>1210</v>
      </c>
      <c r="AI33" s="106">
        <f>'DATOS REFERENCIALES'!$C$12</f>
        <v>210</v>
      </c>
      <c r="AJ33" s="149">
        <f>+AE33+AF33+AH33+AI33</f>
        <v>26566.718942731273</v>
      </c>
      <c r="AK33" s="585">
        <f>'DATOS REFERENCIALES'!$C$16</f>
        <v>2022.3050000000001</v>
      </c>
      <c r="AL33" s="592">
        <f>AK33*$AL$26</f>
        <v>475.24167499999999</v>
      </c>
      <c r="AM33" s="585">
        <f>AK33-AL33</f>
        <v>1547.0633250000001</v>
      </c>
      <c r="AN33" s="585">
        <f>AJ33+AM33</f>
        <v>28113.782267731272</v>
      </c>
      <c r="AO33" s="17"/>
      <c r="AP33" s="17"/>
      <c r="AT33" s="8"/>
    </row>
    <row r="34" spans="1:46" s="1" customFormat="1" ht="21.75" customHeight="1" x14ac:dyDescent="0.2">
      <c r="A34" s="74">
        <v>455</v>
      </c>
      <c r="B34" s="251" t="s">
        <v>53</v>
      </c>
      <c r="C34" s="25">
        <v>0</v>
      </c>
      <c r="D34" s="25"/>
      <c r="E34" s="25"/>
      <c r="F34" s="25"/>
      <c r="G34" s="52">
        <v>2264</v>
      </c>
      <c r="H34" s="35">
        <f>SUM(G34:G34)</f>
        <v>2264</v>
      </c>
      <c r="I34" s="35"/>
      <c r="J34" s="35"/>
      <c r="K34" s="115">
        <f>H34*'DATOS REFERENCIALES'!$C$4</f>
        <v>21724.891200000002</v>
      </c>
      <c r="L34" s="115"/>
      <c r="M34" s="115"/>
      <c r="N34" s="79">
        <f>LOOKUP(C34,'TABLA ANTIG.'!$A$4:$A$39,'TABLA ANTIG.'!$B$4:$B$39)*(K34)</f>
        <v>0</v>
      </c>
      <c r="O34" s="79">
        <f>K34*0.1</f>
        <v>2172.4891200000002</v>
      </c>
      <c r="P34" s="115">
        <f>'DATOS REFERENCIALES'!$D$8</f>
        <v>12764</v>
      </c>
      <c r="Q34" s="79">
        <f>LOOKUP(C34,'TABLA ANTIG.'!$A$4:$A$39,'TABLA ANTIG.'!$B$4:$B$39)*(P34)</f>
        <v>0</v>
      </c>
      <c r="R34" s="547">
        <v>0</v>
      </c>
      <c r="S34" s="79">
        <f>IF(C34&gt;11,IF(H34&gt;2069,'DATOS REFERENCIALES'!$D$18,'DATOS REFERENCIALES'!$D$18/2070*H34),0)</f>
        <v>0</v>
      </c>
      <c r="T34" s="151">
        <f>K34+N34+O34+P34+Q34+R34+S34</f>
        <v>36661.380320000004</v>
      </c>
      <c r="U34" s="117">
        <f t="shared" si="15"/>
        <v>4032.7518352000006</v>
      </c>
      <c r="V34" s="117">
        <f t="shared" si="16"/>
        <v>1099.8414096000001</v>
      </c>
      <c r="W34" s="117">
        <f t="shared" si="16"/>
        <v>1099.8414096000001</v>
      </c>
      <c r="X34" s="117">
        <f t="shared" si="17"/>
        <v>733.22760640000013</v>
      </c>
      <c r="Y34" s="117">
        <f t="shared" si="18"/>
        <v>1649.7621144000002</v>
      </c>
      <c r="Z34" s="79">
        <f t="shared" si="19"/>
        <v>8615.4243752000002</v>
      </c>
      <c r="AA34" s="117">
        <f t="shared" si="20"/>
        <v>28045.955944800004</v>
      </c>
      <c r="AB34" s="147">
        <f>'DATOS REFERENCIALES'!D10</f>
        <v>4540</v>
      </c>
      <c r="AC34" s="654">
        <f>IF(C34&lt;12,IF(H34&gt;2069,'DATOS REFERENCIALES'!$D$17,'DATOS REFERENCIALES'!$D$17/2070*H34),0)</f>
        <v>5168</v>
      </c>
      <c r="AD34" s="545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19322.0440552</v>
      </c>
      <c r="AE34" s="254">
        <f t="shared" si="21"/>
        <v>57076.000000000007</v>
      </c>
      <c r="AF34" s="533">
        <f>'DATOS REFERENCIALES'!D13</f>
        <v>2420</v>
      </c>
      <c r="AG34" s="272" t="e">
        <f>IF($H34&gt;1119,'DATOS REFERENCIALES'!#REF!,'DATOS REFERENCIALES'!#REF!/1120*$H34)</f>
        <v>#REF!</v>
      </c>
      <c r="AH34" s="272">
        <f>+AF34</f>
        <v>2420</v>
      </c>
      <c r="AI34" s="79">
        <f>'DATOS REFERENCIALES'!$D$12</f>
        <v>420</v>
      </c>
      <c r="AJ34" s="147">
        <f>+AE34+AF34+AH34+AI34</f>
        <v>62336.000000000007</v>
      </c>
      <c r="AK34" s="587">
        <f>'DATOS REFERENCIALES'!D16</f>
        <v>4044.61</v>
      </c>
      <c r="AL34" s="593">
        <f>AK34*$AL$26</f>
        <v>950.48334999999997</v>
      </c>
      <c r="AM34" s="587">
        <f>AK34-AL34</f>
        <v>3094.1266500000002</v>
      </c>
      <c r="AN34" s="587">
        <f>AJ34+AM34</f>
        <v>65430.126650000006</v>
      </c>
      <c r="AO34" s="17"/>
      <c r="AP34" s="17"/>
      <c r="AT34" s="8"/>
    </row>
    <row r="35" spans="1:46" s="1" customFormat="1" ht="21.75" customHeight="1" thickBot="1" x14ac:dyDescent="0.25">
      <c r="A35" s="75">
        <v>3525</v>
      </c>
      <c r="B35" s="252" t="s">
        <v>25</v>
      </c>
      <c r="C35" s="26">
        <v>0</v>
      </c>
      <c r="D35" s="26"/>
      <c r="E35" s="26"/>
      <c r="F35" s="26"/>
      <c r="G35" s="53">
        <v>2204</v>
      </c>
      <c r="H35" s="57">
        <v>2500</v>
      </c>
      <c r="I35" s="57"/>
      <c r="J35" s="57"/>
      <c r="K35" s="116">
        <f>H35*'DATOS REFERENCIALES'!$C$4</f>
        <v>23989.5</v>
      </c>
      <c r="L35" s="116"/>
      <c r="M35" s="116"/>
      <c r="N35" s="80">
        <f>LOOKUP(C35,'TABLA ANTIG.'!$A$4:$A$39,'TABLA ANTIG.'!$B$4:$B$39)*(K35)</f>
        <v>0</v>
      </c>
      <c r="O35" s="80">
        <f>K35*0.1</f>
        <v>2398.9500000000003</v>
      </c>
      <c r="P35" s="116">
        <f>'DATOS REFERENCIALES'!$C$8</f>
        <v>6382</v>
      </c>
      <c r="Q35" s="80">
        <f>LOOKUP(C35,'TABLA ANTIG.'!$A$4:$A$39,'TABLA ANTIG.'!$B$4:$B$39)*(P35)</f>
        <v>0</v>
      </c>
      <c r="R35" s="548">
        <v>0</v>
      </c>
      <c r="S35" s="80">
        <f>IF(C35&gt;11,IF(H35&gt;1134,'DATOS REFERENCIALES'!$C$18,'DATOS REFERENCIALES'!$C$18/1135*H35),0)</f>
        <v>0</v>
      </c>
      <c r="T35" s="158">
        <f>K35+N35+O35+P35+Q35+R35+S35</f>
        <v>32770.449999999997</v>
      </c>
      <c r="U35" s="118">
        <f t="shared" si="15"/>
        <v>3604.7494999999999</v>
      </c>
      <c r="V35" s="118">
        <f t="shared" si="16"/>
        <v>983.11349999999993</v>
      </c>
      <c r="W35" s="118">
        <f t="shared" si="16"/>
        <v>983.11349999999993</v>
      </c>
      <c r="X35" s="118">
        <f t="shared" si="17"/>
        <v>655.40899999999999</v>
      </c>
      <c r="Y35" s="118">
        <f t="shared" si="18"/>
        <v>1474.6702499999999</v>
      </c>
      <c r="Z35" s="80">
        <f t="shared" si="19"/>
        <v>7701.0557499999986</v>
      </c>
      <c r="AA35" s="118">
        <f t="shared" si="20"/>
        <v>25069.394249999998</v>
      </c>
      <c r="AB35" s="150">
        <f>'DATOS REFERENCIALES'!$C$10</f>
        <v>2270</v>
      </c>
      <c r="AC35" s="150">
        <f>IF(C35&lt;12,IF(H35&gt;1134,'DATOS REFERENCIALES'!$C$17,'DATOS REFERENCIALES'!$C$17/1135*H35),0)</f>
        <v>2584</v>
      </c>
      <c r="AD35" s="551">
        <f>IF((IF(H35&gt;1134,('DATOS REFERENCIALES'!$C$9-(T35-U35-V35-W35-X35-Y35+AB35+AC35-L35-L35*0.235)),(('DATOS REFERENCIALES'!$C$9/1135)*H35)-(K35+N35+O35+P35+Q35+S35-U35-V35-W35-X35-Y35+AB35+AC35-(L35-L35*0.235))))&lt;0,0,IF(H35&gt;1134,(('DATOS REFERENCIALES'!$C$9)-(T35-U35-V35-W35-X35-Y35+AB35+AC35-(L35-L35*0.235))),(('DATOS REFERENCIALES'!$C$9/1135)*H35)-(K35+N35+O35+P35+Q35+S35-U35-V35-W35-X35-Y35+AB35+AC35-(L35-L35*0.235))))</f>
        <v>0</v>
      </c>
      <c r="AE35" s="255">
        <f t="shared" si="21"/>
        <v>29923.394249999998</v>
      </c>
      <c r="AF35" s="92">
        <f>'DATOS REFERENCIALES'!$C$13</f>
        <v>1210</v>
      </c>
      <c r="AG35" s="270" t="e">
        <f>IF($H35&gt;1119,'DATOS REFERENCIALES'!#REF!,'DATOS REFERENCIALES'!#REF!/1120*$H35)</f>
        <v>#REF!</v>
      </c>
      <c r="AH35" s="270">
        <f>+AF35</f>
        <v>1210</v>
      </c>
      <c r="AI35" s="80">
        <f>'DATOS REFERENCIALES'!$C$12</f>
        <v>210</v>
      </c>
      <c r="AJ35" s="150">
        <f>+AE35+AF35+AH35+AI35</f>
        <v>32553.394249999998</v>
      </c>
      <c r="AK35" s="589">
        <f>'DATOS REFERENCIALES'!C16</f>
        <v>2022.3050000000001</v>
      </c>
      <c r="AL35" s="594">
        <f>AK35*$AL$26</f>
        <v>475.24167499999999</v>
      </c>
      <c r="AM35" s="589">
        <f>AK35-AL35</f>
        <v>1547.0633250000001</v>
      </c>
      <c r="AN35" s="589">
        <f>AJ35+AM35</f>
        <v>34100.457575</v>
      </c>
      <c r="AO35" s="17"/>
      <c r="AP35" s="17"/>
      <c r="AT35" s="8"/>
    </row>
    <row r="36" spans="1:46" x14ac:dyDescent="0.2">
      <c r="AM36" s="575"/>
    </row>
  </sheetData>
  <mergeCells count="95">
    <mergeCell ref="J9:J10"/>
    <mergeCell ref="N27:N28"/>
    <mergeCell ref="Q27:Q28"/>
    <mergeCell ref="AJ29:AJ30"/>
    <mergeCell ref="AJ31:AJ32"/>
    <mergeCell ref="R9:R10"/>
    <mergeCell ref="AB27:AB28"/>
    <mergeCell ref="K9:K10"/>
    <mergeCell ref="AD9:AD10"/>
    <mergeCell ref="AE27:AE28"/>
    <mergeCell ref="T9:T10"/>
    <mergeCell ref="AJ9:AJ10"/>
    <mergeCell ref="AJ27:AJ28"/>
    <mergeCell ref="AF9:AF10"/>
    <mergeCell ref="AF27:AF28"/>
    <mergeCell ref="O27:O28"/>
    <mergeCell ref="K3:AA5"/>
    <mergeCell ref="R27:R28"/>
    <mergeCell ref="T27:T28"/>
    <mergeCell ref="U27:Y27"/>
    <mergeCell ref="Z27:Z28"/>
    <mergeCell ref="A6:AJ6"/>
    <mergeCell ref="A7:AJ7"/>
    <mergeCell ref="AB9:AB10"/>
    <mergeCell ref="AD27:AD28"/>
    <mergeCell ref="AE9:AE10"/>
    <mergeCell ref="A9:A10"/>
    <mergeCell ref="B9:B10"/>
    <mergeCell ref="C27:C28"/>
    <mergeCell ref="A27:A28"/>
    <mergeCell ref="C9:C10"/>
    <mergeCell ref="Q9:Q10"/>
    <mergeCell ref="E27:E28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N9:N10"/>
    <mergeCell ref="AL9:AL10"/>
    <mergeCell ref="B27:B28"/>
    <mergeCell ref="K27:K28"/>
    <mergeCell ref="O9:O10"/>
    <mergeCell ref="AG9:AG10"/>
    <mergeCell ref="AG27:AG28"/>
    <mergeCell ref="E9:E10"/>
    <mergeCell ref="F9:F10"/>
    <mergeCell ref="D27:D28"/>
    <mergeCell ref="U9:Y9"/>
    <mergeCell ref="AA27:AA28"/>
    <mergeCell ref="Z9:Z10"/>
    <mergeCell ref="AA9:AA10"/>
    <mergeCell ref="I27:I28"/>
    <mergeCell ref="H9:H10"/>
    <mergeCell ref="G27:G28"/>
    <mergeCell ref="AM9:AM10"/>
    <mergeCell ref="AN9:AN10"/>
    <mergeCell ref="AK29:AK30"/>
    <mergeCell ref="AL29:AL30"/>
    <mergeCell ref="AM29:AM30"/>
    <mergeCell ref="AN29:AN30"/>
    <mergeCell ref="AK11:AK12"/>
    <mergeCell ref="AL11:AL12"/>
    <mergeCell ref="AM11:AM12"/>
    <mergeCell ref="AN11:AN12"/>
    <mergeCell ref="AK13:AK14"/>
    <mergeCell ref="AL13:AL14"/>
    <mergeCell ref="AM13:AM14"/>
    <mergeCell ref="AN13:AN14"/>
    <mergeCell ref="AK27:AK28"/>
    <mergeCell ref="AL27:AL28"/>
    <mergeCell ref="AL31:AL32"/>
    <mergeCell ref="AM31:AM32"/>
    <mergeCell ref="AN31:AN32"/>
    <mergeCell ref="AM27:AM28"/>
    <mergeCell ref="AN27:AN28"/>
    <mergeCell ref="AH9:AH10"/>
    <mergeCell ref="AC9:AC10"/>
    <mergeCell ref="AC27:AC28"/>
    <mergeCell ref="AH27:AH28"/>
    <mergeCell ref="AK31:AK32"/>
    <mergeCell ref="AJ11:AJ12"/>
    <mergeCell ref="AJ13:AJ14"/>
    <mergeCell ref="AI9:AI10"/>
    <mergeCell ref="AI27:AI28"/>
    <mergeCell ref="AK9:AK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75"/>
  <sheetViews>
    <sheetView zoomScale="65" zoomScaleNormal="65" workbookViewId="0">
      <selection activeCell="C16" sqref="C16"/>
    </sheetView>
  </sheetViews>
  <sheetFormatPr baseColWidth="10" defaultRowHeight="12.75" x14ac:dyDescent="0.2"/>
  <cols>
    <col min="1" max="1" width="3.5703125" style="10" customWidth="1"/>
    <col min="2" max="2" width="60" style="1" customWidth="1"/>
    <col min="3" max="3" width="32.42578125" style="13" bestFit="1" customWidth="1"/>
    <col min="4" max="4" width="19.5703125" style="13" customWidth="1"/>
    <col min="5" max="5" width="21.140625" style="13" customWidth="1"/>
    <col min="6" max="6" width="15.28515625" style="13" customWidth="1"/>
    <col min="7" max="7" width="18.28515625" style="13" customWidth="1"/>
    <col min="8" max="8" width="13.7109375" style="13" customWidth="1"/>
    <col min="9" max="9" width="16.28515625" style="14" customWidth="1"/>
    <col min="10" max="10" width="16.42578125" style="13" customWidth="1"/>
    <col min="11" max="11" width="28.85546875" style="13" customWidth="1"/>
    <col min="12" max="13" width="17.85546875" style="14" customWidth="1"/>
    <col min="14" max="14" width="16.5703125" style="13" customWidth="1"/>
    <col min="15" max="15" width="19.85546875" style="13" customWidth="1"/>
    <col min="16" max="16" width="20.42578125" style="13" customWidth="1"/>
    <col min="17" max="17" width="18" style="13" customWidth="1"/>
    <col min="18" max="18" width="19.42578125" style="13" customWidth="1"/>
    <col min="19" max="19" width="16.85546875" style="13" customWidth="1"/>
    <col min="20" max="20" width="17" style="13" customWidth="1"/>
    <col min="21" max="21" width="15.7109375" style="13" customWidth="1"/>
    <col min="22" max="22" width="15.140625" style="13" customWidth="1"/>
    <col min="23" max="23" width="16.85546875" style="13" customWidth="1"/>
    <col min="24" max="25" width="16.85546875" style="13" hidden="1" customWidth="1"/>
    <col min="26" max="26" width="16.85546875" style="13" customWidth="1"/>
    <col min="27" max="27" width="15.5703125" style="13" customWidth="1"/>
    <col min="28" max="28" width="14.28515625" style="13" customWidth="1"/>
    <col min="29" max="29" width="18.7109375" style="13" hidden="1" customWidth="1"/>
    <col min="30" max="31" width="18.7109375" style="13" customWidth="1"/>
    <col min="32" max="35" width="11.42578125" style="13"/>
    <col min="36" max="36" width="12.7109375" style="13" customWidth="1"/>
    <col min="37" max="37" width="11.42578125" style="13"/>
    <col min="38" max="40" width="11.42578125" style="1"/>
    <col min="41" max="41" width="12.28515625" style="1" bestFit="1" customWidth="1"/>
    <col min="42" max="16384" width="11.42578125" style="1"/>
  </cols>
  <sheetData>
    <row r="1" spans="1:37" ht="13.5" thickBot="1" x14ac:dyDescent="0.25"/>
    <row r="2" spans="1:37" ht="60" thickBot="1" x14ac:dyDescent="0.8">
      <c r="A2" s="776" t="s">
        <v>103</v>
      </c>
      <c r="B2" s="777"/>
      <c r="C2" s="624" t="s">
        <v>200</v>
      </c>
    </row>
    <row r="3" spans="1:37" ht="59.25" x14ac:dyDescent="0.75">
      <c r="A3" s="69"/>
      <c r="B3" s="69"/>
      <c r="D3" s="610"/>
      <c r="E3" s="610"/>
      <c r="F3" s="610"/>
      <c r="I3" s="642" t="s">
        <v>202</v>
      </c>
      <c r="J3" s="642" t="s">
        <v>203</v>
      </c>
    </row>
    <row r="4" spans="1:37" ht="30" x14ac:dyDescent="0.4">
      <c r="B4" s="138" t="s">
        <v>104</v>
      </c>
      <c r="C4" s="553">
        <v>9.5958000000000006</v>
      </c>
      <c r="D4" s="610"/>
      <c r="E4" s="138" t="s">
        <v>201</v>
      </c>
      <c r="F4" s="644"/>
      <c r="G4" s="645"/>
      <c r="H4" s="646"/>
      <c r="I4" s="643">
        <v>7.5</v>
      </c>
      <c r="J4" s="643">
        <v>12.5</v>
      </c>
    </row>
    <row r="5" spans="1:37" ht="30" x14ac:dyDescent="0.4">
      <c r="B5" s="81"/>
      <c r="C5" s="82"/>
      <c r="D5" s="82"/>
      <c r="E5" s="82"/>
      <c r="F5" s="82"/>
    </row>
    <row r="6" spans="1:37" ht="30" customHeight="1" x14ac:dyDescent="0.4">
      <c r="B6" s="81"/>
      <c r="C6" s="136"/>
      <c r="D6" s="136"/>
      <c r="E6" s="136"/>
      <c r="F6" s="778" t="s">
        <v>110</v>
      </c>
      <c r="G6" s="779" t="s">
        <v>108</v>
      </c>
      <c r="H6" s="780" t="s">
        <v>117</v>
      </c>
      <c r="I6" s="780" t="s">
        <v>118</v>
      </c>
      <c r="J6" s="799" t="s">
        <v>115</v>
      </c>
      <c r="K6" s="797" t="s">
        <v>116</v>
      </c>
      <c r="L6" s="796" t="s">
        <v>141</v>
      </c>
      <c r="M6" s="796" t="s">
        <v>142</v>
      </c>
    </row>
    <row r="7" spans="1:37" ht="50.25" customHeight="1" x14ac:dyDescent="0.2">
      <c r="C7" s="137" t="s">
        <v>139</v>
      </c>
      <c r="D7" s="137" t="s">
        <v>105</v>
      </c>
      <c r="E7" s="137" t="s">
        <v>114</v>
      </c>
      <c r="F7" s="778"/>
      <c r="G7" s="779"/>
      <c r="H7" s="780"/>
      <c r="I7" s="780"/>
      <c r="J7" s="800"/>
      <c r="K7" s="798"/>
      <c r="L7" s="796"/>
      <c r="M7" s="796"/>
    </row>
    <row r="8" spans="1:37" ht="33.950000000000003" customHeight="1" x14ac:dyDescent="0.3">
      <c r="B8" s="641" t="s">
        <v>111</v>
      </c>
      <c r="C8" s="172">
        <v>6382</v>
      </c>
      <c r="D8" s="172">
        <f>+C8*2</f>
        <v>12764</v>
      </c>
      <c r="E8" s="172">
        <f>D8/I8</f>
        <v>335.89473684210526</v>
      </c>
      <c r="F8" s="173">
        <v>100</v>
      </c>
      <c r="G8" s="173"/>
      <c r="H8" s="267">
        <v>19</v>
      </c>
      <c r="I8" s="267">
        <v>38</v>
      </c>
      <c r="J8" s="267">
        <v>19</v>
      </c>
      <c r="K8" s="267">
        <v>38</v>
      </c>
      <c r="L8" s="268"/>
      <c r="M8" s="268"/>
    </row>
    <row r="9" spans="1:37" ht="33.950000000000003" customHeight="1" x14ac:dyDescent="0.3">
      <c r="B9" s="641" t="s">
        <v>106</v>
      </c>
      <c r="C9" s="172">
        <v>28538</v>
      </c>
      <c r="D9" s="172">
        <f>+C9*2</f>
        <v>57076</v>
      </c>
      <c r="E9" s="172">
        <f>D9/I9</f>
        <v>1426.9</v>
      </c>
      <c r="F9" s="175"/>
      <c r="G9" s="173"/>
      <c r="H9" s="267">
        <v>20</v>
      </c>
      <c r="I9" s="267">
        <v>40</v>
      </c>
      <c r="J9" s="267">
        <v>20</v>
      </c>
      <c r="K9" s="267">
        <v>40</v>
      </c>
      <c r="L9" s="172">
        <v>17600</v>
      </c>
      <c r="M9" s="172">
        <v>46800</v>
      </c>
    </row>
    <row r="10" spans="1:37" ht="33.950000000000003" customHeight="1" x14ac:dyDescent="0.3">
      <c r="B10" s="641" t="s">
        <v>107</v>
      </c>
      <c r="C10" s="172">
        <v>2270</v>
      </c>
      <c r="D10" s="172">
        <f>+C10*2</f>
        <v>4540</v>
      </c>
      <c r="E10" s="172">
        <f>D10/I10</f>
        <v>119.47368421052632</v>
      </c>
      <c r="F10" s="175"/>
      <c r="G10" s="173"/>
      <c r="H10" s="267">
        <v>19</v>
      </c>
      <c r="I10" s="267">
        <v>38</v>
      </c>
      <c r="J10" s="267">
        <v>19</v>
      </c>
      <c r="K10" s="267">
        <v>38</v>
      </c>
      <c r="L10" s="266"/>
      <c r="M10" s="266"/>
    </row>
    <row r="11" spans="1:37" ht="33.950000000000003" hidden="1" customHeight="1" x14ac:dyDescent="0.3">
      <c r="B11" s="139"/>
      <c r="C11" s="172">
        <v>0</v>
      </c>
      <c r="D11" s="172">
        <v>0</v>
      </c>
      <c r="E11" s="174">
        <v>0</v>
      </c>
      <c r="F11" s="175"/>
      <c r="G11" s="174">
        <v>0</v>
      </c>
      <c r="H11" s="267">
        <v>15</v>
      </c>
      <c r="I11" s="267">
        <v>30</v>
      </c>
      <c r="J11" s="267">
        <v>12</v>
      </c>
      <c r="K11" s="267">
        <v>24</v>
      </c>
      <c r="L11" s="266"/>
      <c r="M11" s="266"/>
    </row>
    <row r="12" spans="1:37" ht="33.950000000000003" customHeight="1" x14ac:dyDescent="0.3">
      <c r="B12" s="139" t="s">
        <v>143</v>
      </c>
      <c r="C12" s="172">
        <v>210</v>
      </c>
      <c r="D12" s="172">
        <f>+C12*2</f>
        <v>420</v>
      </c>
      <c r="E12" s="172">
        <f>D12/I12</f>
        <v>14</v>
      </c>
      <c r="F12" s="175"/>
      <c r="G12" s="173">
        <v>17.5</v>
      </c>
      <c r="H12" s="267">
        <v>15</v>
      </c>
      <c r="I12" s="267">
        <v>30</v>
      </c>
      <c r="J12" s="267">
        <v>12</v>
      </c>
      <c r="K12" s="267">
        <v>24</v>
      </c>
      <c r="L12" s="266"/>
      <c r="M12" s="266"/>
    </row>
    <row r="13" spans="1:37" ht="33.950000000000003" customHeight="1" x14ac:dyDescent="0.3">
      <c r="B13" s="139" t="s">
        <v>109</v>
      </c>
      <c r="C13" s="172">
        <v>1210</v>
      </c>
      <c r="D13" s="172">
        <f>+C13*2</f>
        <v>2420</v>
      </c>
      <c r="E13" s="172">
        <f>D13/I13</f>
        <v>80.666666666666671</v>
      </c>
      <c r="F13" s="175"/>
      <c r="G13" s="172">
        <v>100.83329999999999</v>
      </c>
      <c r="H13" s="267">
        <v>15</v>
      </c>
      <c r="I13" s="267">
        <v>30</v>
      </c>
      <c r="J13" s="267">
        <v>12</v>
      </c>
      <c r="K13" s="267">
        <v>24</v>
      </c>
      <c r="L13" s="266"/>
      <c r="M13" s="266"/>
    </row>
    <row r="14" spans="1:37" ht="40.5" hidden="1" customHeight="1" x14ac:dyDescent="0.3">
      <c r="B14" s="139" t="s">
        <v>187</v>
      </c>
      <c r="C14" s="172">
        <v>0</v>
      </c>
      <c r="D14" s="172">
        <v>0</v>
      </c>
      <c r="E14" s="174">
        <v>0</v>
      </c>
      <c r="F14" s="175"/>
      <c r="G14" s="173"/>
      <c r="H14" s="267">
        <v>15</v>
      </c>
      <c r="I14" s="267">
        <v>30</v>
      </c>
      <c r="J14" s="267">
        <v>12</v>
      </c>
      <c r="K14" s="267">
        <v>24</v>
      </c>
    </row>
    <row r="15" spans="1:37" ht="40.5" hidden="1" customHeight="1" x14ac:dyDescent="0.3">
      <c r="B15" s="139"/>
      <c r="C15" s="172"/>
      <c r="D15" s="172"/>
      <c r="E15" s="172"/>
      <c r="F15" s="175"/>
      <c r="G15" s="173"/>
      <c r="H15" s="267"/>
      <c r="I15" s="267"/>
      <c r="J15" s="267"/>
      <c r="K15" s="26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40.5" customHeight="1" x14ac:dyDescent="0.3">
      <c r="B16" s="641" t="s">
        <v>187</v>
      </c>
      <c r="C16" s="173">
        <v>2022.3050000000001</v>
      </c>
      <c r="D16" s="172">
        <f>+C16*2</f>
        <v>4044.61</v>
      </c>
      <c r="E16" s="174">
        <f>D16/I16</f>
        <v>134.82033333333334</v>
      </c>
      <c r="F16" s="175"/>
      <c r="G16" s="174">
        <f>D16/K16</f>
        <v>168.52541666666667</v>
      </c>
      <c r="H16" s="267">
        <v>15</v>
      </c>
      <c r="I16" s="267">
        <v>30</v>
      </c>
      <c r="J16" s="267">
        <v>12</v>
      </c>
      <c r="K16" s="267">
        <v>24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40.5" customHeight="1" x14ac:dyDescent="0.2">
      <c r="B17" s="657" t="s">
        <v>204</v>
      </c>
      <c r="C17" s="173">
        <v>2584</v>
      </c>
      <c r="D17" s="172">
        <f>+C17*2</f>
        <v>5168</v>
      </c>
      <c r="E17" s="174">
        <f>D17/I17</f>
        <v>129.19999999999999</v>
      </c>
      <c r="F17" s="175"/>
      <c r="G17" s="174"/>
      <c r="H17" s="267">
        <v>20</v>
      </c>
      <c r="I17" s="267">
        <v>40</v>
      </c>
      <c r="J17" s="267">
        <v>20</v>
      </c>
      <c r="K17" s="267">
        <v>40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40.5" customHeight="1" x14ac:dyDescent="0.2">
      <c r="B18" s="657" t="s">
        <v>205</v>
      </c>
      <c r="C18" s="173">
        <v>3201.98</v>
      </c>
      <c r="D18" s="172">
        <f>+C18*2</f>
        <v>6403.96</v>
      </c>
      <c r="E18" s="174">
        <f>D18/I18</f>
        <v>160.09899999999999</v>
      </c>
      <c r="F18" s="175"/>
      <c r="G18" s="174"/>
      <c r="H18" s="267">
        <v>20</v>
      </c>
      <c r="I18" s="267">
        <v>40</v>
      </c>
      <c r="J18" s="267">
        <v>20</v>
      </c>
      <c r="K18" s="267">
        <v>40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0" spans="1:37" ht="13.5" thickBot="1" x14ac:dyDescent="0.25">
      <c r="A20" s="1"/>
      <c r="C20" s="194" t="s">
        <v>165</v>
      </c>
      <c r="D20" s="194" t="s">
        <v>166</v>
      </c>
      <c r="E20" s="194" t="s">
        <v>167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" thickBot="1" x14ac:dyDescent="0.25">
      <c r="A21" s="1"/>
      <c r="B21" s="190"/>
      <c r="C21" s="193">
        <v>0.06</v>
      </c>
      <c r="D21" s="193">
        <v>0.1</v>
      </c>
      <c r="E21" s="193">
        <v>0.15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29.25" thickBot="1" x14ac:dyDescent="0.25">
      <c r="A22" s="1"/>
      <c r="B22" s="191" t="s">
        <v>148</v>
      </c>
      <c r="C22" s="192" t="s">
        <v>149</v>
      </c>
      <c r="D22" s="192" t="s">
        <v>150</v>
      </c>
      <c r="E22" s="192" t="s">
        <v>151</v>
      </c>
      <c r="G22" s="784" t="s">
        <v>175</v>
      </c>
      <c r="H22" s="784"/>
      <c r="I22" s="784"/>
      <c r="J22" s="784"/>
      <c r="K22" s="78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8.25" customHeight="1" thickBot="1" x14ac:dyDescent="0.25">
      <c r="A23" s="1"/>
      <c r="B23" s="191" t="s">
        <v>148</v>
      </c>
      <c r="C23" s="192" t="s">
        <v>152</v>
      </c>
      <c r="D23" s="192" t="s">
        <v>153</v>
      </c>
      <c r="E23" s="192" t="s">
        <v>154</v>
      </c>
      <c r="G23" s="534"/>
      <c r="H23"/>
      <c r="I23"/>
      <c r="J23"/>
      <c r="K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32.25" thickBot="1" x14ac:dyDescent="0.25">
      <c r="A24" s="1"/>
      <c r="B24" s="191" t="s">
        <v>148</v>
      </c>
      <c r="C24" s="192" t="s">
        <v>155</v>
      </c>
      <c r="D24" s="192" t="s">
        <v>156</v>
      </c>
      <c r="E24" s="192"/>
      <c r="G24" s="535" t="s">
        <v>176</v>
      </c>
      <c r="H24" s="536" t="s">
        <v>177</v>
      </c>
      <c r="I24" s="536" t="s">
        <v>178</v>
      </c>
      <c r="J24" s="536" t="s">
        <v>179</v>
      </c>
      <c r="K24" s="53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2.25" thickBot="1" x14ac:dyDescent="0.25">
      <c r="A25" s="1"/>
      <c r="B25" s="788" t="s">
        <v>157</v>
      </c>
      <c r="C25" s="790" t="s">
        <v>158</v>
      </c>
      <c r="D25" s="790" t="s">
        <v>159</v>
      </c>
      <c r="E25" s="790" t="s">
        <v>160</v>
      </c>
      <c r="G25" s="792" t="s">
        <v>191</v>
      </c>
      <c r="H25" s="538" t="s">
        <v>181</v>
      </c>
      <c r="I25" s="538" t="s">
        <v>182</v>
      </c>
      <c r="J25" s="539">
        <v>2584</v>
      </c>
      <c r="K25" s="794" t="s">
        <v>180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2.25" thickBot="1" x14ac:dyDescent="0.25">
      <c r="A26" s="1"/>
      <c r="B26" s="789"/>
      <c r="C26" s="791"/>
      <c r="D26" s="791"/>
      <c r="E26" s="791"/>
      <c r="G26" s="793"/>
      <c r="H26" s="538" t="s">
        <v>181</v>
      </c>
      <c r="I26" s="538" t="s">
        <v>183</v>
      </c>
      <c r="J26" s="539">
        <v>3201.98</v>
      </c>
      <c r="K26" s="79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31.5" customHeight="1" thickBot="1" x14ac:dyDescent="0.25">
      <c r="A27" s="1"/>
      <c r="B27" s="191" t="s">
        <v>161</v>
      </c>
      <c r="C27" s="192"/>
      <c r="D27" s="192"/>
      <c r="E27" s="192" t="s">
        <v>162</v>
      </c>
      <c r="G27" s="781" t="s">
        <v>192</v>
      </c>
      <c r="H27" s="782"/>
      <c r="I27" s="782"/>
      <c r="J27" s="782"/>
      <c r="K27" s="78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43.5" customHeight="1" thickBot="1" x14ac:dyDescent="0.25">
      <c r="A28" s="1"/>
      <c r="B28" s="191" t="s">
        <v>163</v>
      </c>
      <c r="C28" s="192" t="s">
        <v>164</v>
      </c>
      <c r="D28" s="192"/>
      <c r="E28" s="192"/>
      <c r="G28" s="792" t="s">
        <v>193</v>
      </c>
      <c r="H28" s="538" t="s">
        <v>184</v>
      </c>
      <c r="I28" s="538" t="s">
        <v>182</v>
      </c>
      <c r="J28" s="539">
        <v>5168</v>
      </c>
      <c r="K28" s="801" t="s">
        <v>185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41.25" customHeight="1" thickBot="1" x14ac:dyDescent="0.25">
      <c r="A29" s="1"/>
      <c r="G29" s="793"/>
      <c r="H29" s="538" t="s">
        <v>184</v>
      </c>
      <c r="I29" s="538" t="s">
        <v>183</v>
      </c>
      <c r="J29" s="539">
        <v>6403.96</v>
      </c>
      <c r="K29" s="79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31.5" customHeight="1" thickBot="1" x14ac:dyDescent="0.25">
      <c r="A30" s="1"/>
      <c r="G30" s="781" t="s">
        <v>194</v>
      </c>
      <c r="H30" s="782"/>
      <c r="I30" s="782"/>
      <c r="J30" s="782"/>
      <c r="K30" s="78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36.75" thickBot="1" x14ac:dyDescent="0.25">
      <c r="A31" s="1"/>
      <c r="B31" s="259" t="s">
        <v>171</v>
      </c>
      <c r="C31" s="256" t="s">
        <v>149</v>
      </c>
      <c r="D31" s="193">
        <v>0.06</v>
      </c>
      <c r="G31" s="785" t="s">
        <v>195</v>
      </c>
      <c r="H31" s="786"/>
      <c r="I31" s="786"/>
      <c r="J31" s="786"/>
      <c r="K31" s="78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36.75" thickBot="1" x14ac:dyDescent="0.25">
      <c r="A32" s="1"/>
      <c r="B32" s="260" t="s">
        <v>171</v>
      </c>
      <c r="C32" s="257" t="s">
        <v>152</v>
      </c>
      <c r="D32" s="193">
        <v>0.06</v>
      </c>
      <c r="G32" s="787"/>
      <c r="H32" s="787"/>
      <c r="I32" s="787"/>
      <c r="J32" s="787"/>
      <c r="K32" s="78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41" ht="36.75" thickBot="1" x14ac:dyDescent="0.25">
      <c r="A33" s="1"/>
      <c r="B33" s="260" t="s">
        <v>171</v>
      </c>
      <c r="C33" s="257" t="s">
        <v>155</v>
      </c>
      <c r="D33" s="193">
        <v>0.06</v>
      </c>
      <c r="G33" s="787"/>
      <c r="H33" s="787"/>
      <c r="I33" s="787"/>
      <c r="J33" s="787"/>
      <c r="K33" s="78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41" ht="36.75" thickBot="1" x14ac:dyDescent="0.25">
      <c r="A34" s="1"/>
      <c r="B34" s="260" t="s">
        <v>171</v>
      </c>
      <c r="C34" s="258" t="s">
        <v>150</v>
      </c>
      <c r="D34" s="193">
        <v>0.1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41" ht="36.75" thickBot="1" x14ac:dyDescent="0.25">
      <c r="B35" s="260" t="s">
        <v>171</v>
      </c>
      <c r="C35" s="258" t="s">
        <v>153</v>
      </c>
      <c r="D35" s="193">
        <v>0.1</v>
      </c>
    </row>
    <row r="36" spans="1:41" ht="36.75" thickBot="1" x14ac:dyDescent="0.25">
      <c r="B36" s="261" t="s">
        <v>171</v>
      </c>
      <c r="C36" s="258" t="s">
        <v>156</v>
      </c>
      <c r="D36" s="193">
        <v>0.1</v>
      </c>
      <c r="E36" s="609"/>
      <c r="F36" s="609"/>
      <c r="G36" s="609"/>
      <c r="H36" s="609"/>
      <c r="I36" s="609"/>
      <c r="J36" s="609"/>
      <c r="K36" s="609"/>
      <c r="L36" s="609"/>
      <c r="M36" s="609"/>
      <c r="N36" s="609"/>
      <c r="O36" s="609"/>
      <c r="P36" s="609"/>
      <c r="Q36" s="609"/>
      <c r="R36" s="609"/>
    </row>
    <row r="37" spans="1:41" ht="36.75" thickBot="1" x14ac:dyDescent="0.25">
      <c r="B37" s="261" t="s">
        <v>171</v>
      </c>
      <c r="C37" s="195" t="s">
        <v>151</v>
      </c>
      <c r="D37" s="193">
        <v>0.15</v>
      </c>
      <c r="E37" s="609"/>
      <c r="F37" s="609"/>
      <c r="G37" s="609"/>
      <c r="H37" s="609"/>
      <c r="I37" s="609"/>
      <c r="J37" s="609"/>
      <c r="K37" s="609"/>
      <c r="L37" s="609"/>
      <c r="M37" s="609"/>
      <c r="N37" s="609"/>
      <c r="O37" s="609"/>
      <c r="P37" s="609"/>
      <c r="Q37" s="609"/>
      <c r="R37" s="609"/>
    </row>
    <row r="38" spans="1:41" ht="36.75" customHeight="1" thickBot="1" x14ac:dyDescent="0.25">
      <c r="A38" s="43"/>
      <c r="B38" s="262" t="s">
        <v>171</v>
      </c>
      <c r="C38" s="195" t="s">
        <v>154</v>
      </c>
      <c r="D38" s="193">
        <v>0.15</v>
      </c>
      <c r="E38" s="609"/>
      <c r="F38" s="609"/>
      <c r="G38" s="609"/>
      <c r="H38" s="609"/>
      <c r="I38" s="609"/>
      <c r="J38" s="609"/>
      <c r="K38" s="609"/>
      <c r="L38" s="609"/>
      <c r="M38" s="609"/>
      <c r="N38" s="609"/>
      <c r="O38" s="609"/>
      <c r="P38" s="609"/>
      <c r="Q38" s="609"/>
      <c r="R38" s="609"/>
      <c r="S38" s="45"/>
      <c r="T38" s="45"/>
      <c r="U38" s="45"/>
      <c r="V38" s="45"/>
      <c r="W38" s="46"/>
      <c r="X38" s="46"/>
      <c r="Y38" s="45"/>
      <c r="Z38" s="45"/>
      <c r="AA38" s="45"/>
      <c r="AB38" s="47"/>
      <c r="AC38" s="47"/>
      <c r="AD38" s="68"/>
      <c r="AE38" s="45"/>
      <c r="AI38" s="16"/>
      <c r="AJ38" s="17"/>
      <c r="AK38" s="17"/>
      <c r="AO38" s="8"/>
    </row>
    <row r="39" spans="1:41" ht="32.25" customHeight="1" thickBot="1" x14ac:dyDescent="0.25">
      <c r="B39" s="263" t="s">
        <v>172</v>
      </c>
      <c r="C39" s="257" t="s">
        <v>170</v>
      </c>
      <c r="D39" s="193">
        <v>0.06</v>
      </c>
      <c r="E39" s="609"/>
      <c r="F39" s="609"/>
      <c r="G39" s="609"/>
      <c r="H39" s="609"/>
      <c r="I39" s="609"/>
      <c r="J39" s="609"/>
      <c r="K39" s="609"/>
      <c r="L39" s="609"/>
      <c r="M39" s="609"/>
      <c r="N39" s="609"/>
      <c r="O39" s="609"/>
      <c r="P39" s="609"/>
      <c r="Q39" s="609"/>
      <c r="R39" s="609"/>
    </row>
    <row r="40" spans="1:41" ht="18.75" customHeight="1" thickBot="1" x14ac:dyDescent="0.25">
      <c r="B40" s="264" t="s">
        <v>172</v>
      </c>
      <c r="C40" s="257" t="s">
        <v>159</v>
      </c>
      <c r="D40" s="193">
        <v>0.1</v>
      </c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  <c r="Q40" s="609"/>
      <c r="R40" s="609"/>
    </row>
    <row r="41" spans="1:41" ht="18.75" customHeight="1" thickBot="1" x14ac:dyDescent="0.25">
      <c r="B41" s="265" t="s">
        <v>172</v>
      </c>
      <c r="C41" s="257" t="s">
        <v>160</v>
      </c>
      <c r="D41" s="193">
        <v>0.15</v>
      </c>
      <c r="E41" s="609"/>
      <c r="F41" s="609"/>
      <c r="G41" s="609"/>
      <c r="H41" s="609"/>
      <c r="I41" s="609"/>
      <c r="J41" s="609"/>
      <c r="K41" s="609"/>
      <c r="L41" s="609"/>
      <c r="M41" s="609"/>
      <c r="N41" s="609"/>
      <c r="O41" s="609"/>
      <c r="P41" s="609"/>
      <c r="Q41" s="609"/>
      <c r="R41" s="609"/>
    </row>
    <row r="42" spans="1:41" ht="15.75" x14ac:dyDescent="0.2">
      <c r="E42" s="609"/>
      <c r="F42" s="609"/>
      <c r="G42" s="609"/>
      <c r="H42" s="609"/>
      <c r="I42" s="609"/>
      <c r="J42" s="609"/>
      <c r="K42" s="609"/>
      <c r="L42" s="609"/>
      <c r="M42" s="609"/>
      <c r="N42" s="609"/>
      <c r="O42" s="609"/>
      <c r="P42" s="609"/>
      <c r="Q42" s="609"/>
      <c r="R42" s="609"/>
    </row>
    <row r="43" spans="1:41" ht="15.75" x14ac:dyDescent="0.2">
      <c r="E43" s="609"/>
      <c r="F43" s="609"/>
      <c r="G43" s="609"/>
      <c r="H43" s="609"/>
      <c r="I43" s="609"/>
      <c r="J43" s="609"/>
      <c r="K43" s="609"/>
      <c r="L43" s="609"/>
      <c r="M43" s="609"/>
      <c r="N43" s="609"/>
      <c r="O43" s="609"/>
      <c r="P43" s="609"/>
      <c r="Q43" s="609"/>
      <c r="R43" s="609"/>
    </row>
    <row r="44" spans="1:41" ht="15.75" x14ac:dyDescent="0.2">
      <c r="E44" s="609"/>
      <c r="F44" s="609"/>
      <c r="G44" s="609"/>
      <c r="H44" s="609"/>
      <c r="I44" s="609"/>
      <c r="J44" s="609"/>
      <c r="K44" s="609"/>
      <c r="L44" s="609"/>
      <c r="M44" s="609"/>
      <c r="N44" s="609"/>
      <c r="O44" s="609"/>
      <c r="P44" s="609"/>
      <c r="Q44" s="609"/>
      <c r="R44" s="609"/>
    </row>
    <row r="45" spans="1:41" ht="15.75" x14ac:dyDescent="0.2">
      <c r="E45" s="609"/>
      <c r="F45" s="609"/>
      <c r="G45" s="609"/>
      <c r="H45" s="609"/>
      <c r="I45" s="609"/>
      <c r="J45" s="609"/>
      <c r="K45" s="609"/>
      <c r="L45" s="609"/>
      <c r="M45" s="609"/>
      <c r="N45" s="609"/>
      <c r="O45" s="609"/>
      <c r="P45" s="609"/>
      <c r="Q45" s="609"/>
      <c r="R45" s="609"/>
    </row>
    <row r="46" spans="1:41" ht="15.75" x14ac:dyDescent="0.2">
      <c r="E46" s="609"/>
      <c r="F46" s="609"/>
      <c r="G46" s="609"/>
      <c r="H46" s="609"/>
      <c r="I46" s="609"/>
      <c r="J46" s="609"/>
      <c r="K46" s="609"/>
      <c r="L46" s="609"/>
      <c r="M46" s="609"/>
      <c r="N46" s="609"/>
      <c r="O46" s="609"/>
      <c r="P46" s="609"/>
      <c r="Q46" s="609"/>
      <c r="R46" s="609"/>
    </row>
    <row r="47" spans="1:41" ht="15.75" x14ac:dyDescent="0.2">
      <c r="E47" s="609"/>
      <c r="F47" s="609"/>
      <c r="G47" s="609"/>
      <c r="H47" s="609"/>
      <c r="I47" s="609"/>
      <c r="J47" s="609"/>
      <c r="K47" s="609"/>
      <c r="L47" s="609"/>
      <c r="M47" s="609"/>
      <c r="N47" s="609"/>
      <c r="O47" s="609"/>
      <c r="P47" s="609"/>
      <c r="Q47" s="609"/>
      <c r="R47" s="609"/>
    </row>
    <row r="48" spans="1:41" ht="15.75" x14ac:dyDescent="0.2">
      <c r="E48" s="609"/>
      <c r="F48" s="609"/>
      <c r="G48" s="609"/>
      <c r="H48" s="609"/>
      <c r="I48" s="609"/>
      <c r="J48" s="609"/>
      <c r="K48" s="609"/>
      <c r="L48" s="609"/>
      <c r="M48" s="609"/>
      <c r="N48" s="609"/>
      <c r="O48" s="609"/>
      <c r="P48" s="609"/>
      <c r="Q48" s="609"/>
      <c r="R48" s="609"/>
    </row>
    <row r="49" spans="5:18" ht="15.75" x14ac:dyDescent="0.2">
      <c r="E49" s="609"/>
      <c r="F49" s="609"/>
      <c r="G49" s="609"/>
      <c r="H49" s="609"/>
      <c r="I49" s="609"/>
      <c r="J49" s="609"/>
      <c r="K49" s="609"/>
      <c r="L49" s="609"/>
      <c r="M49" s="609"/>
      <c r="N49" s="609"/>
      <c r="O49" s="609"/>
      <c r="P49" s="609"/>
      <c r="Q49" s="609"/>
      <c r="R49" s="609"/>
    </row>
    <row r="50" spans="5:18" ht="15.75" x14ac:dyDescent="0.2">
      <c r="E50" s="609"/>
      <c r="F50" s="609"/>
      <c r="G50" s="609"/>
      <c r="H50" s="609"/>
      <c r="I50" s="609"/>
      <c r="J50" s="609"/>
      <c r="K50" s="609"/>
      <c r="L50" s="609"/>
      <c r="M50" s="609"/>
      <c r="N50" s="609"/>
      <c r="O50" s="609"/>
      <c r="P50" s="609"/>
      <c r="Q50" s="609"/>
      <c r="R50" s="609"/>
    </row>
    <row r="51" spans="5:18" ht="15.75" x14ac:dyDescent="0.2">
      <c r="E51" s="609"/>
      <c r="F51" s="609"/>
      <c r="G51" s="609"/>
      <c r="H51" s="609"/>
      <c r="I51" s="609"/>
      <c r="J51" s="609"/>
      <c r="K51" s="609"/>
      <c r="L51" s="609"/>
      <c r="M51" s="609"/>
      <c r="N51" s="609"/>
      <c r="O51" s="609"/>
      <c r="P51" s="609"/>
      <c r="Q51" s="609"/>
      <c r="R51" s="609"/>
    </row>
    <row r="52" spans="5:18" ht="15.75" x14ac:dyDescent="0.2">
      <c r="E52" s="609"/>
      <c r="F52" s="609"/>
      <c r="G52" s="609"/>
      <c r="H52" s="609"/>
      <c r="I52" s="609"/>
      <c r="J52" s="609"/>
      <c r="K52" s="609"/>
      <c r="L52" s="609"/>
      <c r="M52" s="609"/>
      <c r="N52" s="609"/>
      <c r="O52" s="609"/>
      <c r="P52" s="609"/>
      <c r="Q52" s="609"/>
      <c r="R52" s="609"/>
    </row>
    <row r="53" spans="5:18" ht="15.75" x14ac:dyDescent="0.2">
      <c r="E53" s="609"/>
      <c r="F53" s="609"/>
      <c r="G53" s="609"/>
      <c r="H53" s="609"/>
      <c r="I53" s="609"/>
      <c r="J53" s="609"/>
      <c r="K53" s="609"/>
      <c r="L53" s="609"/>
      <c r="M53" s="609"/>
      <c r="N53" s="609"/>
      <c r="O53" s="609"/>
      <c r="P53" s="609"/>
      <c r="Q53" s="609"/>
      <c r="R53" s="609"/>
    </row>
    <row r="54" spans="5:18" ht="15.75" x14ac:dyDescent="0.2">
      <c r="E54" s="609"/>
      <c r="F54" s="609"/>
      <c r="G54" s="609"/>
      <c r="H54" s="609"/>
      <c r="I54" s="609"/>
      <c r="J54" s="609"/>
      <c r="K54" s="609"/>
      <c r="L54" s="609"/>
      <c r="M54" s="609"/>
      <c r="N54" s="609"/>
      <c r="O54" s="609"/>
      <c r="P54" s="609"/>
      <c r="Q54" s="609"/>
      <c r="R54" s="609"/>
    </row>
    <row r="55" spans="5:18" ht="15.75" x14ac:dyDescent="0.2">
      <c r="E55" s="609"/>
      <c r="F55" s="609"/>
      <c r="G55" s="609"/>
      <c r="H55" s="609"/>
      <c r="I55" s="609"/>
      <c r="J55" s="609"/>
      <c r="K55" s="609"/>
      <c r="L55" s="609"/>
      <c r="M55" s="609"/>
      <c r="N55" s="609"/>
      <c r="O55" s="609"/>
      <c r="P55" s="609"/>
      <c r="Q55" s="609"/>
      <c r="R55" s="609"/>
    </row>
    <row r="67" spans="1:37" x14ac:dyDescent="0.2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6"/>
      <c r="AJ67" s="17"/>
      <c r="AK67" s="17"/>
    </row>
    <row r="97" spans="1:37" x14ac:dyDescent="0.2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6"/>
      <c r="AJ97" s="17"/>
      <c r="AK97" s="17"/>
    </row>
    <row r="175" spans="1:37" s="3" customFormat="1" x14ac:dyDescent="0.2">
      <c r="A175" s="12"/>
      <c r="C175" s="21"/>
      <c r="D175" s="21"/>
      <c r="E175" s="21"/>
      <c r="F175" s="21"/>
      <c r="G175" s="21"/>
      <c r="H175" s="21"/>
      <c r="I175" s="22"/>
      <c r="J175" s="21"/>
      <c r="K175" s="21"/>
      <c r="L175" s="22"/>
      <c r="M175" s="22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</row>
  </sheetData>
  <dataConsolidate/>
  <mergeCells count="21">
    <mergeCell ref="M6:M7"/>
    <mergeCell ref="K6:K7"/>
    <mergeCell ref="J6:J7"/>
    <mergeCell ref="G27:K27"/>
    <mergeCell ref="K28:K29"/>
    <mergeCell ref="L6:L7"/>
    <mergeCell ref="G30:K30"/>
    <mergeCell ref="G22:K22"/>
    <mergeCell ref="G31:K33"/>
    <mergeCell ref="B25:B26"/>
    <mergeCell ref="C25:C26"/>
    <mergeCell ref="D25:D26"/>
    <mergeCell ref="E25:E26"/>
    <mergeCell ref="G25:G26"/>
    <mergeCell ref="G28:G29"/>
    <mergeCell ref="K25:K26"/>
    <mergeCell ref="A2:B2"/>
    <mergeCell ref="F6:F7"/>
    <mergeCell ref="G6:G7"/>
    <mergeCell ref="H6:H7"/>
    <mergeCell ref="I6:I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A15" sqref="A15"/>
    </sheetView>
  </sheetViews>
  <sheetFormatPr baseColWidth="10" defaultRowHeight="12.75" x14ac:dyDescent="0.2"/>
  <sheetData>
    <row r="2" spans="1:3" x14ac:dyDescent="0.2">
      <c r="A2" s="802" t="s">
        <v>126</v>
      </c>
      <c r="B2" s="803"/>
      <c r="C2" s="803"/>
    </row>
    <row r="4" spans="1:3" x14ac:dyDescent="0.2">
      <c r="A4">
        <v>0</v>
      </c>
      <c r="B4">
        <v>0</v>
      </c>
    </row>
    <row r="5" spans="1:3" x14ac:dyDescent="0.2">
      <c r="A5">
        <v>1</v>
      </c>
      <c r="B5" s="6">
        <v>0.3</v>
      </c>
    </row>
    <row r="6" spans="1:3" x14ac:dyDescent="0.2">
      <c r="A6">
        <v>2</v>
      </c>
      <c r="B6" s="6">
        <v>0.3</v>
      </c>
    </row>
    <row r="7" spans="1:3" x14ac:dyDescent="0.2">
      <c r="A7">
        <v>3</v>
      </c>
      <c r="B7" s="6">
        <v>0.3</v>
      </c>
    </row>
    <row r="8" spans="1:3" x14ac:dyDescent="0.2">
      <c r="A8">
        <v>4</v>
      </c>
      <c r="B8" s="6">
        <v>0.4</v>
      </c>
    </row>
    <row r="9" spans="1:3" x14ac:dyDescent="0.2">
      <c r="A9">
        <v>5</v>
      </c>
      <c r="B9" s="6">
        <v>0.4</v>
      </c>
    </row>
    <row r="10" spans="1:3" x14ac:dyDescent="0.2">
      <c r="A10">
        <v>6</v>
      </c>
      <c r="B10" s="6">
        <v>0.4</v>
      </c>
    </row>
    <row r="11" spans="1:3" x14ac:dyDescent="0.2">
      <c r="A11">
        <v>7</v>
      </c>
      <c r="B11" s="6">
        <v>0.5</v>
      </c>
    </row>
    <row r="12" spans="1:3" x14ac:dyDescent="0.2">
      <c r="A12">
        <v>8</v>
      </c>
      <c r="B12" s="6">
        <v>0.5</v>
      </c>
    </row>
    <row r="13" spans="1:3" x14ac:dyDescent="0.2">
      <c r="A13">
        <v>9</v>
      </c>
      <c r="B13" s="6">
        <v>0.5</v>
      </c>
    </row>
    <row r="14" spans="1:3" x14ac:dyDescent="0.2">
      <c r="A14">
        <v>10</v>
      </c>
      <c r="B14" s="6">
        <v>0.6</v>
      </c>
    </row>
    <row r="15" spans="1:3" x14ac:dyDescent="0.2">
      <c r="A15">
        <v>11</v>
      </c>
      <c r="B15" s="6">
        <v>0.6</v>
      </c>
    </row>
    <row r="16" spans="1:3" x14ac:dyDescent="0.2">
      <c r="A16">
        <v>12</v>
      </c>
      <c r="B16" s="6">
        <v>0.7</v>
      </c>
    </row>
    <row r="17" spans="1:2" x14ac:dyDescent="0.2">
      <c r="A17">
        <v>13</v>
      </c>
      <c r="B17" s="6">
        <v>0.7</v>
      </c>
    </row>
    <row r="18" spans="1:2" x14ac:dyDescent="0.2">
      <c r="A18">
        <v>14</v>
      </c>
      <c r="B18" s="6">
        <v>0.8</v>
      </c>
    </row>
    <row r="19" spans="1:2" x14ac:dyDescent="0.2">
      <c r="A19">
        <v>15</v>
      </c>
      <c r="B19" s="6">
        <v>0.8</v>
      </c>
    </row>
    <row r="20" spans="1:2" x14ac:dyDescent="0.2">
      <c r="A20">
        <v>16</v>
      </c>
      <c r="B20" s="6">
        <v>0.9</v>
      </c>
    </row>
    <row r="21" spans="1:2" x14ac:dyDescent="0.2">
      <c r="A21">
        <v>17</v>
      </c>
      <c r="B21" s="6">
        <v>0.9</v>
      </c>
    </row>
    <row r="22" spans="1:2" x14ac:dyDescent="0.2">
      <c r="A22">
        <v>18</v>
      </c>
      <c r="B22" s="6">
        <v>1</v>
      </c>
    </row>
    <row r="23" spans="1:2" x14ac:dyDescent="0.2">
      <c r="A23">
        <v>19</v>
      </c>
      <c r="B23" s="6">
        <v>1</v>
      </c>
    </row>
    <row r="24" spans="1:2" x14ac:dyDescent="0.2">
      <c r="A24">
        <v>20</v>
      </c>
      <c r="B24" s="6">
        <v>1.1000000000000001</v>
      </c>
    </row>
    <row r="25" spans="1:2" x14ac:dyDescent="0.2">
      <c r="A25">
        <v>21</v>
      </c>
      <c r="B25" s="6">
        <v>1.1000000000000001</v>
      </c>
    </row>
    <row r="26" spans="1:2" x14ac:dyDescent="0.2">
      <c r="A26">
        <v>22</v>
      </c>
      <c r="B26" s="6">
        <v>1.2</v>
      </c>
    </row>
    <row r="27" spans="1:2" x14ac:dyDescent="0.2">
      <c r="A27">
        <v>23</v>
      </c>
      <c r="B27" s="6">
        <v>1.2</v>
      </c>
    </row>
    <row r="28" spans="1:2" x14ac:dyDescent="0.2">
      <c r="A28">
        <v>24</v>
      </c>
      <c r="B28" s="6">
        <v>1.2</v>
      </c>
    </row>
    <row r="29" spans="1:2" x14ac:dyDescent="0.2">
      <c r="A29">
        <v>25</v>
      </c>
      <c r="B29" s="6">
        <v>1.2</v>
      </c>
    </row>
    <row r="30" spans="1:2" x14ac:dyDescent="0.2">
      <c r="A30">
        <v>26</v>
      </c>
      <c r="B30" s="6">
        <v>1.2</v>
      </c>
    </row>
    <row r="31" spans="1:2" x14ac:dyDescent="0.2">
      <c r="A31">
        <v>27</v>
      </c>
      <c r="B31" s="6">
        <v>1.2</v>
      </c>
    </row>
    <row r="32" spans="1:2" x14ac:dyDescent="0.2">
      <c r="A32">
        <v>28</v>
      </c>
      <c r="B32" s="6">
        <v>1.2</v>
      </c>
    </row>
    <row r="33" spans="1:2" x14ac:dyDescent="0.2">
      <c r="A33">
        <v>29</v>
      </c>
      <c r="B33" s="6">
        <v>1.2</v>
      </c>
    </row>
    <row r="34" spans="1:2" x14ac:dyDescent="0.2">
      <c r="A34">
        <v>30</v>
      </c>
      <c r="B34" s="6">
        <v>1.2</v>
      </c>
    </row>
    <row r="35" spans="1:2" x14ac:dyDescent="0.2">
      <c r="A35">
        <v>31</v>
      </c>
      <c r="B35" s="6">
        <v>1.2</v>
      </c>
    </row>
    <row r="36" spans="1:2" x14ac:dyDescent="0.2">
      <c r="A36">
        <v>32</v>
      </c>
      <c r="B36" s="6">
        <v>1.2</v>
      </c>
    </row>
    <row r="37" spans="1:2" x14ac:dyDescent="0.2">
      <c r="A37">
        <v>33</v>
      </c>
      <c r="B37" s="6">
        <v>1.2</v>
      </c>
    </row>
    <row r="38" spans="1:2" x14ac:dyDescent="0.2">
      <c r="A38">
        <v>34</v>
      </c>
      <c r="B38" s="6">
        <v>1.2</v>
      </c>
    </row>
    <row r="39" spans="1:2" x14ac:dyDescent="0.2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  <vt:lpstr>SUPERIOR!OLE_LINK11</vt:lpstr>
    </vt:vector>
  </TitlesOfParts>
  <Company>Redes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Jorge</cp:lastModifiedBy>
  <cp:lastPrinted>2019-03-12T16:41:02Z</cp:lastPrinted>
  <dcterms:created xsi:type="dcterms:W3CDTF">2004-08-24T12:38:23Z</dcterms:created>
  <dcterms:modified xsi:type="dcterms:W3CDTF">2020-04-24T12:23:21Z</dcterms:modified>
</cp:coreProperties>
</file>