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MyPC\Desktop\REDES\"/>
    </mc:Choice>
  </mc:AlternateContent>
  <xr:revisionPtr revIDLastSave="0" documentId="13_ncr:1_{64429F5B-0C9B-4F4D-82F9-B44463E3963E}" xr6:coauthVersionLast="47" xr6:coauthVersionMax="47" xr10:uidLastSave="{00000000-0000-0000-0000-000000000000}"/>
  <bookViews>
    <workbookView xWindow="-108" yWindow="-108" windowWidth="23256" windowHeight="12576" tabRatio="699" xr2:uid="{00000000-000D-0000-FFFF-FFFF00000000}"/>
  </bookViews>
  <sheets>
    <sheet name="INICIAL" sheetId="17" r:id="rId1"/>
    <sheet name="Hoja1" sheetId="20" state="hidden" r:id="rId2"/>
    <sheet name="PRIMARIA " sheetId="15" r:id="rId3"/>
    <sheet name="ESPECIAL" sheetId="16" r:id="rId4"/>
    <sheet name="SECUNDARIA" sheetId="18" r:id="rId5"/>
    <sheet name="SUPERIOR" sheetId="19" r:id="rId6"/>
    <sheet name="DATOS REFERENCIALES" sheetId="12" r:id="rId7"/>
    <sheet name="TABLA ANTIG." sheetId="13" r:id="rId8"/>
  </sheets>
  <definedNames>
    <definedName name="_xlnm._FilterDatabase" localSheetId="6" hidden="1">'DATOS REFERENCIALES'!$A$38:$AB$175</definedName>
    <definedName name="HORAS">Hoja1!$A$4:$A$43</definedName>
    <definedName name="OLE_LINK11" localSheetId="5">SUPERIOR!$AE$34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2" l="1"/>
  <c r="C12" i="17"/>
  <c r="G17" i="12" l="1"/>
  <c r="G8" i="12"/>
  <c r="D13" i="12"/>
  <c r="AF34" i="18" s="1"/>
  <c r="D17" i="12"/>
  <c r="P41" i="18"/>
  <c r="S62" i="18"/>
  <c r="S61" i="18"/>
  <c r="S60" i="18"/>
  <c r="AJ60" i="18"/>
  <c r="AI60" i="18"/>
  <c r="AF60" i="18"/>
  <c r="C14" i="16"/>
  <c r="C14" i="17"/>
  <c r="AH35" i="19"/>
  <c r="AH33" i="19"/>
  <c r="AH31" i="19"/>
  <c r="AH29" i="19"/>
  <c r="AI22" i="19"/>
  <c r="AI21" i="19"/>
  <c r="AI20" i="19"/>
  <c r="AI19" i="19"/>
  <c r="AI18" i="19"/>
  <c r="AI17" i="19"/>
  <c r="AI16" i="19"/>
  <c r="AH22" i="19"/>
  <c r="AH21" i="19"/>
  <c r="AH20" i="19"/>
  <c r="AH19" i="19"/>
  <c r="AH18" i="19"/>
  <c r="AH17" i="19"/>
  <c r="AH16" i="19"/>
  <c r="AF22" i="19"/>
  <c r="AF21" i="19"/>
  <c r="AF20" i="19"/>
  <c r="AF19" i="19"/>
  <c r="AF18" i="19"/>
  <c r="AF17" i="19"/>
  <c r="AF16" i="19"/>
  <c r="AI15" i="19"/>
  <c r="AH15" i="19"/>
  <c r="AF15" i="19"/>
  <c r="AI13" i="19"/>
  <c r="AH13" i="19"/>
  <c r="AF13" i="19"/>
  <c r="AI11" i="19"/>
  <c r="AH11" i="19"/>
  <c r="AF11" i="19"/>
  <c r="AC35" i="19"/>
  <c r="AC22" i="19"/>
  <c r="AC21" i="19"/>
  <c r="AC20" i="19"/>
  <c r="AC17" i="19"/>
  <c r="AC15" i="19"/>
  <c r="S59" i="18"/>
  <c r="S46" i="18"/>
  <c r="S45" i="18"/>
  <c r="S44" i="18"/>
  <c r="S43" i="18"/>
  <c r="S42" i="18"/>
  <c r="S41" i="18"/>
  <c r="S40" i="18"/>
  <c r="S34" i="19"/>
  <c r="S35" i="19"/>
  <c r="S33" i="19"/>
  <c r="S31" i="19"/>
  <c r="S29" i="19"/>
  <c r="S24" i="19"/>
  <c r="S23" i="19"/>
  <c r="S22" i="19"/>
  <c r="S21" i="19"/>
  <c r="S20" i="19"/>
  <c r="S19" i="19"/>
  <c r="S18" i="19"/>
  <c r="S17" i="19"/>
  <c r="S16" i="19"/>
  <c r="S15" i="19"/>
  <c r="S13" i="19"/>
  <c r="S11" i="19"/>
  <c r="P35" i="19"/>
  <c r="P22" i="19"/>
  <c r="P21" i="19"/>
  <c r="P20" i="19"/>
  <c r="P17" i="19"/>
  <c r="P15" i="19"/>
  <c r="AJ59" i="18"/>
  <c r="AJ57" i="18"/>
  <c r="AI59" i="18"/>
  <c r="AF59" i="18"/>
  <c r="AI57" i="18"/>
  <c r="AF57" i="18"/>
  <c r="AF55" i="18"/>
  <c r="AC41" i="18"/>
  <c r="AH61" i="18"/>
  <c r="AH62" i="18"/>
  <c r="AJ46" i="18"/>
  <c r="AI46" i="18"/>
  <c r="AF46" i="18"/>
  <c r="AJ45" i="18"/>
  <c r="AI45" i="18"/>
  <c r="AF45" i="18"/>
  <c r="AJ44" i="18"/>
  <c r="AI44" i="18"/>
  <c r="AF44" i="18"/>
  <c r="AJ43" i="18"/>
  <c r="AI43" i="18"/>
  <c r="AF43" i="18"/>
  <c r="AJ42" i="18"/>
  <c r="AI42" i="18"/>
  <c r="AF42" i="18"/>
  <c r="AJ41" i="18"/>
  <c r="AI41" i="18"/>
  <c r="AF41" i="18"/>
  <c r="AJ40" i="18"/>
  <c r="AI40" i="18"/>
  <c r="AF40" i="18"/>
  <c r="S29" i="18"/>
  <c r="S28" i="18"/>
  <c r="S27" i="18"/>
  <c r="S26" i="18"/>
  <c r="S25" i="18"/>
  <c r="S24" i="18"/>
  <c r="S23" i="18"/>
  <c r="S22" i="18"/>
  <c r="S21" i="18"/>
  <c r="S20" i="18"/>
  <c r="S19" i="18"/>
  <c r="S18" i="18"/>
  <c r="S17" i="18"/>
  <c r="S16" i="18"/>
  <c r="AJ38" i="18"/>
  <c r="AI38" i="18"/>
  <c r="AF38" i="18"/>
  <c r="AJ36" i="18"/>
  <c r="AI36" i="18"/>
  <c r="AF36" i="18"/>
  <c r="AJ24" i="18"/>
  <c r="AI24" i="18"/>
  <c r="AF24" i="18"/>
  <c r="AJ23" i="18"/>
  <c r="AI23" i="18"/>
  <c r="AF23" i="18"/>
  <c r="AJ22" i="18"/>
  <c r="AI22" i="18"/>
  <c r="AF22" i="18"/>
  <c r="AJ21" i="18"/>
  <c r="AI21" i="18"/>
  <c r="AF21" i="18"/>
  <c r="AJ20" i="18"/>
  <c r="AI20" i="18"/>
  <c r="AF20" i="18"/>
  <c r="AJ19" i="18"/>
  <c r="AI19" i="18"/>
  <c r="AF19" i="18"/>
  <c r="AJ18" i="18"/>
  <c r="AI18" i="18"/>
  <c r="AF18" i="18"/>
  <c r="AJ17" i="18"/>
  <c r="AI17" i="18"/>
  <c r="AF17" i="18"/>
  <c r="AJ16" i="18"/>
  <c r="AI16" i="18"/>
  <c r="AF16" i="18"/>
  <c r="AJ14" i="18"/>
  <c r="AI14" i="18"/>
  <c r="AF14" i="18"/>
  <c r="AJ12" i="18"/>
  <c r="AI12" i="18"/>
  <c r="AF12" i="18"/>
  <c r="AJ11" i="18"/>
  <c r="AI11" i="18"/>
  <c r="AF11" i="18"/>
  <c r="AC20" i="18"/>
  <c r="AC18" i="18"/>
  <c r="AC16" i="18"/>
  <c r="P20" i="18"/>
  <c r="P18" i="18"/>
  <c r="P16" i="18"/>
  <c r="AC34" i="16"/>
  <c r="AC33" i="16"/>
  <c r="AC29" i="16"/>
  <c r="AC28" i="16"/>
  <c r="AC27" i="16"/>
  <c r="AC26" i="16"/>
  <c r="AC25" i="16"/>
  <c r="AC24" i="16"/>
  <c r="AC21" i="16"/>
  <c r="AJ34" i="16"/>
  <c r="AI34" i="16"/>
  <c r="AF34" i="16"/>
  <c r="AJ33" i="16"/>
  <c r="AI33" i="16"/>
  <c r="AF33" i="16"/>
  <c r="AJ32" i="16"/>
  <c r="AI32" i="16"/>
  <c r="AF32" i="16"/>
  <c r="AJ31" i="16"/>
  <c r="AI31" i="16"/>
  <c r="AF31" i="16"/>
  <c r="AJ30" i="16"/>
  <c r="AI30" i="16"/>
  <c r="AF30" i="16"/>
  <c r="AJ29" i="16"/>
  <c r="AI29" i="16"/>
  <c r="AF29" i="16"/>
  <c r="AJ28" i="16"/>
  <c r="AI28" i="16"/>
  <c r="AF28" i="16"/>
  <c r="AJ27" i="16"/>
  <c r="AI27" i="16"/>
  <c r="AF27" i="16"/>
  <c r="AJ26" i="16"/>
  <c r="AI26" i="16"/>
  <c r="AF26" i="16"/>
  <c r="AJ25" i="16"/>
  <c r="AI25" i="16"/>
  <c r="AF25" i="16"/>
  <c r="AJ24" i="16"/>
  <c r="AI24" i="16"/>
  <c r="AF24" i="16"/>
  <c r="AJ22" i="16"/>
  <c r="AI22" i="16"/>
  <c r="AF22" i="16"/>
  <c r="AJ21" i="16"/>
  <c r="AI21" i="16"/>
  <c r="AF21" i="16"/>
  <c r="AJ19" i="16"/>
  <c r="AI19" i="16"/>
  <c r="AF19" i="16"/>
  <c r="AJ17" i="16"/>
  <c r="AI17" i="16"/>
  <c r="AF17" i="16"/>
  <c r="S42" i="16"/>
  <c r="S41" i="16"/>
  <c r="S39" i="16"/>
  <c r="S40" i="16"/>
  <c r="S38" i="16"/>
  <c r="S37" i="16"/>
  <c r="S36" i="16"/>
  <c r="S35" i="16"/>
  <c r="S34" i="16"/>
  <c r="S33" i="16"/>
  <c r="S32" i="16"/>
  <c r="S31" i="16"/>
  <c r="S30" i="16"/>
  <c r="S29" i="16"/>
  <c r="S28" i="16"/>
  <c r="S27" i="16"/>
  <c r="S26" i="16"/>
  <c r="S25" i="16"/>
  <c r="S24" i="16"/>
  <c r="S22" i="16"/>
  <c r="S19" i="16"/>
  <c r="S17" i="16"/>
  <c r="S15" i="16"/>
  <c r="S13" i="16"/>
  <c r="S11" i="16"/>
  <c r="P34" i="16"/>
  <c r="P33" i="16"/>
  <c r="P29" i="16"/>
  <c r="P28" i="16"/>
  <c r="P27" i="16"/>
  <c r="P26" i="16"/>
  <c r="P25" i="16"/>
  <c r="P24" i="16"/>
  <c r="P21" i="16"/>
  <c r="S21" i="15"/>
  <c r="S34" i="15"/>
  <c r="S45" i="15"/>
  <c r="S33" i="17"/>
  <c r="S21" i="17"/>
  <c r="S44" i="15"/>
  <c r="S42" i="15"/>
  <c r="S40" i="15"/>
  <c r="AI44" i="15"/>
  <c r="AI42" i="15"/>
  <c r="AI40" i="15"/>
  <c r="AF11" i="15"/>
  <c r="S33" i="15"/>
  <c r="S32" i="15"/>
  <c r="S30" i="15"/>
  <c r="S28" i="15"/>
  <c r="S26" i="15"/>
  <c r="AI20" i="15"/>
  <c r="AI19" i="15"/>
  <c r="AI18" i="15"/>
  <c r="AI17" i="15"/>
  <c r="AI15" i="15"/>
  <c r="AI13" i="15"/>
  <c r="AI11" i="15"/>
  <c r="AH13" i="17"/>
  <c r="S20" i="15"/>
  <c r="S19" i="15"/>
  <c r="S18" i="15"/>
  <c r="S17" i="15"/>
  <c r="S15" i="15"/>
  <c r="S13" i="15"/>
  <c r="S11" i="15"/>
  <c r="P20" i="15"/>
  <c r="P19" i="15"/>
  <c r="P18" i="15"/>
  <c r="P17" i="15"/>
  <c r="P11" i="17"/>
  <c r="S32" i="17"/>
  <c r="S30" i="17"/>
  <c r="S28" i="17"/>
  <c r="S26" i="17"/>
  <c r="AB11" i="17"/>
  <c r="AB13" i="17"/>
  <c r="AB15" i="17"/>
  <c r="AB17" i="17"/>
  <c r="AB18" i="17"/>
  <c r="AB19" i="17"/>
  <c r="AB20" i="17"/>
  <c r="S20" i="17"/>
  <c r="S19" i="17"/>
  <c r="S18" i="17"/>
  <c r="S17" i="17"/>
  <c r="S15" i="17"/>
  <c r="S13" i="17"/>
  <c r="S11" i="17"/>
  <c r="AC19" i="17"/>
  <c r="AC18" i="17"/>
  <c r="AC17" i="17"/>
  <c r="AC11" i="17"/>
  <c r="AH20" i="17"/>
  <c r="AH19" i="17"/>
  <c r="AH18" i="17"/>
  <c r="AH17" i="17"/>
  <c r="AH15" i="17"/>
  <c r="AH11" i="17"/>
  <c r="H12" i="12"/>
  <c r="AI24" i="19" s="1"/>
  <c r="H13" i="12"/>
  <c r="AF24" i="19" s="1"/>
  <c r="H30" i="17"/>
  <c r="P19" i="17"/>
  <c r="P18" i="17"/>
  <c r="P17" i="17"/>
  <c r="AF15" i="16" l="1"/>
  <c r="AF11" i="16"/>
  <c r="AF13" i="16"/>
  <c r="AF23" i="19"/>
  <c r="AI23" i="19"/>
  <c r="I31" i="17"/>
  <c r="H12" i="18" l="1"/>
  <c r="S14" i="18"/>
  <c r="S11" i="18"/>
  <c r="S57" i="18"/>
  <c r="S55" i="18"/>
  <c r="S50" i="18"/>
  <c r="S49" i="18"/>
  <c r="S48" i="18"/>
  <c r="S47" i="18"/>
  <c r="S38" i="18"/>
  <c r="S36" i="18"/>
  <c r="S34" i="18"/>
  <c r="I13" i="18" l="1"/>
  <c r="P12" i="18"/>
  <c r="AC12" i="18"/>
  <c r="S12" i="18"/>
  <c r="S21" i="16"/>
  <c r="AC20" i="15" l="1"/>
  <c r="AC19" i="15"/>
  <c r="AC18" i="15"/>
  <c r="AC17" i="15"/>
  <c r="C14" i="15"/>
  <c r="C16" i="17"/>
  <c r="D18" i="12" l="1"/>
  <c r="E18" i="12" s="1"/>
  <c r="AC30" i="17" l="1"/>
  <c r="AC26" i="17"/>
  <c r="AC33" i="15"/>
  <c r="AC32" i="15"/>
  <c r="E17" i="12"/>
  <c r="I58" i="18"/>
  <c r="I56" i="18"/>
  <c r="AC61" i="18" l="1"/>
  <c r="AC23" i="19"/>
  <c r="AC49" i="18"/>
  <c r="AC26" i="18"/>
  <c r="AC40" i="16"/>
  <c r="AC36" i="16"/>
  <c r="AC21" i="15"/>
  <c r="AC48" i="18"/>
  <c r="AC29" i="18"/>
  <c r="AC25" i="18"/>
  <c r="AC39" i="16"/>
  <c r="AC35" i="16"/>
  <c r="AC47" i="18"/>
  <c r="AC28" i="18"/>
  <c r="AC42" i="16"/>
  <c r="AC38" i="16"/>
  <c r="AC62" i="18"/>
  <c r="AC24" i="19"/>
  <c r="AC50" i="18"/>
  <c r="AC27" i="18"/>
  <c r="AC41" i="16"/>
  <c r="AC37" i="16"/>
  <c r="AC45" i="15"/>
  <c r="AC34" i="15"/>
  <c r="AC33" i="17"/>
  <c r="AC21" i="17"/>
  <c r="D16" i="12"/>
  <c r="D12" i="12"/>
  <c r="D10" i="12"/>
  <c r="D8" i="12"/>
  <c r="D9" i="12"/>
  <c r="AI13" i="16" l="1"/>
  <c r="AI30" i="15"/>
  <c r="AH26" i="17"/>
  <c r="AH34" i="19"/>
  <c r="AI55" i="18"/>
  <c r="AI34" i="18"/>
  <c r="AI28" i="15"/>
  <c r="AH32" i="17"/>
  <c r="AI15" i="16"/>
  <c r="AI11" i="16"/>
  <c r="AI33" i="15"/>
  <c r="AI26" i="15"/>
  <c r="AH30" i="17"/>
  <c r="AI32" i="15"/>
  <c r="AH28" i="17"/>
  <c r="AJ11" i="16"/>
  <c r="AJ13" i="16"/>
  <c r="AJ55" i="18"/>
  <c r="AJ34" i="18"/>
  <c r="AJ15" i="16"/>
  <c r="E8" i="12"/>
  <c r="P26" i="17"/>
  <c r="P34" i="19"/>
  <c r="P33" i="15"/>
  <c r="P32" i="15"/>
  <c r="P30" i="17"/>
  <c r="AB28" i="17"/>
  <c r="AB26" i="17"/>
  <c r="AB30" i="17"/>
  <c r="AB32" i="17"/>
  <c r="AG35" i="19"/>
  <c r="AG22" i="19"/>
  <c r="AG21" i="19"/>
  <c r="AG20" i="19"/>
  <c r="AG17" i="19"/>
  <c r="AG15" i="19"/>
  <c r="AG19" i="17"/>
  <c r="AG18" i="17"/>
  <c r="AG17" i="17"/>
  <c r="P24" i="19" l="1"/>
  <c r="P27" i="18"/>
  <c r="P50" i="18"/>
  <c r="P41" i="16"/>
  <c r="P37" i="16"/>
  <c r="P34" i="15"/>
  <c r="P33" i="17"/>
  <c r="P23" i="19"/>
  <c r="P26" i="18"/>
  <c r="P49" i="18"/>
  <c r="P40" i="16"/>
  <c r="P36" i="16"/>
  <c r="P21" i="17"/>
  <c r="P29" i="18"/>
  <c r="P25" i="18"/>
  <c r="P62" i="18"/>
  <c r="P48" i="18"/>
  <c r="P39" i="16"/>
  <c r="P35" i="16"/>
  <c r="P28" i="18"/>
  <c r="P61" i="18"/>
  <c r="P47" i="18"/>
  <c r="P42" i="16"/>
  <c r="P38" i="16"/>
  <c r="P45" i="15"/>
  <c r="P21" i="15"/>
  <c r="H16" i="12"/>
  <c r="E16" i="12"/>
  <c r="E13" i="12"/>
  <c r="E12" i="12"/>
  <c r="E10" i="12"/>
  <c r="AB21" i="17" s="1"/>
  <c r="E9" i="12"/>
  <c r="AH24" i="19" l="1"/>
  <c r="AH23" i="19"/>
  <c r="AI49" i="18"/>
  <c r="AI26" i="18"/>
  <c r="AI39" i="16"/>
  <c r="AI35" i="16"/>
  <c r="AH33" i="17"/>
  <c r="AI48" i="18"/>
  <c r="AI29" i="18"/>
  <c r="AI25" i="18"/>
  <c r="AI42" i="16"/>
  <c r="AI38" i="16"/>
  <c r="AI45" i="15"/>
  <c r="AI34" i="15"/>
  <c r="AI21" i="15"/>
  <c r="AH21" i="17"/>
  <c r="AI61" i="18"/>
  <c r="AI62" i="18"/>
  <c r="AI47" i="18"/>
  <c r="AI28" i="18"/>
  <c r="AI41" i="16"/>
  <c r="AI37" i="16"/>
  <c r="AI50" i="18"/>
  <c r="AI27" i="18"/>
  <c r="AI40" i="16"/>
  <c r="AI36" i="16"/>
  <c r="AF61" i="18"/>
  <c r="AF49" i="18"/>
  <c r="AF47" i="18"/>
  <c r="AF29" i="18"/>
  <c r="AF27" i="18"/>
  <c r="AF25" i="18"/>
  <c r="AF42" i="16"/>
  <c r="AF40" i="16"/>
  <c r="AF38" i="16"/>
  <c r="AF36" i="16"/>
  <c r="AF41" i="16"/>
  <c r="AF37" i="16"/>
  <c r="AF35" i="16"/>
  <c r="AF50" i="18"/>
  <c r="AF48" i="18"/>
  <c r="AF28" i="18"/>
  <c r="AF26" i="18"/>
  <c r="AF62" i="18"/>
  <c r="AF39" i="16"/>
  <c r="AJ62" i="18"/>
  <c r="AJ50" i="18"/>
  <c r="AJ29" i="18"/>
  <c r="AJ25" i="18"/>
  <c r="AJ40" i="16"/>
  <c r="AJ36" i="16"/>
  <c r="AJ61" i="18"/>
  <c r="AJ47" i="18"/>
  <c r="AJ26" i="18"/>
  <c r="AJ41" i="16"/>
  <c r="AJ37" i="16"/>
  <c r="AJ48" i="18"/>
  <c r="AJ27" i="18"/>
  <c r="AJ42" i="16"/>
  <c r="AJ38" i="16"/>
  <c r="AJ49" i="18"/>
  <c r="AJ28" i="18"/>
  <c r="AJ39" i="16"/>
  <c r="AJ35" i="16"/>
  <c r="AG23" i="19"/>
  <c r="AG21" i="17" l="1"/>
  <c r="AG33" i="17"/>
  <c r="AG24" i="19"/>
  <c r="AI21" i="17"/>
  <c r="C13" i="18"/>
  <c r="C39" i="18"/>
  <c r="C12" i="19"/>
  <c r="C12" i="15"/>
  <c r="C29" i="17"/>
  <c r="C27" i="17"/>
  <c r="C32" i="19"/>
  <c r="C30" i="19"/>
  <c r="C14" i="19"/>
  <c r="C58" i="18"/>
  <c r="C56" i="18"/>
  <c r="C37" i="18"/>
  <c r="C35" i="18"/>
  <c r="C15" i="18"/>
  <c r="H14" i="18"/>
  <c r="C23" i="16"/>
  <c r="C20" i="16"/>
  <c r="C18" i="16"/>
  <c r="C16" i="16"/>
  <c r="C12" i="16"/>
  <c r="C43" i="15"/>
  <c r="C41" i="15"/>
  <c r="C31" i="15"/>
  <c r="C29" i="15"/>
  <c r="C27" i="15"/>
  <c r="C31" i="17"/>
  <c r="C16" i="15"/>
  <c r="M14" i="19"/>
  <c r="M58" i="18"/>
  <c r="L58" i="18"/>
  <c r="L56" i="18"/>
  <c r="M39" i="18"/>
  <c r="M37" i="18"/>
  <c r="L13" i="18"/>
  <c r="L31" i="17"/>
  <c r="O31" i="17" s="1"/>
  <c r="AF32" i="15"/>
  <c r="H11" i="19"/>
  <c r="AB11" i="19"/>
  <c r="H13" i="19"/>
  <c r="AB13" i="19"/>
  <c r="K15" i="19"/>
  <c r="Q15" i="19"/>
  <c r="AB15" i="19"/>
  <c r="H16" i="19"/>
  <c r="AB16" i="19"/>
  <c r="K17" i="19"/>
  <c r="Q17" i="19"/>
  <c r="AB17" i="19"/>
  <c r="H18" i="19"/>
  <c r="AB18" i="19"/>
  <c r="H19" i="19"/>
  <c r="AB19" i="19"/>
  <c r="K20" i="19"/>
  <c r="Q20" i="19"/>
  <c r="AB20" i="19"/>
  <c r="K21" i="19"/>
  <c r="Q21" i="19"/>
  <c r="AB21" i="19"/>
  <c r="K22" i="19"/>
  <c r="Q22" i="19"/>
  <c r="AB22" i="19"/>
  <c r="H23" i="19"/>
  <c r="Q23" i="19"/>
  <c r="AB23" i="19"/>
  <c r="H24" i="19"/>
  <c r="Q24" i="19"/>
  <c r="AB24" i="19"/>
  <c r="H29" i="19"/>
  <c r="AB29" i="19"/>
  <c r="AF29" i="19"/>
  <c r="AI29" i="19"/>
  <c r="H31" i="19"/>
  <c r="K31" i="19"/>
  <c r="AB31" i="19"/>
  <c r="AF31" i="19"/>
  <c r="AI31" i="19"/>
  <c r="H33" i="19"/>
  <c r="AB33" i="19"/>
  <c r="AF33" i="19"/>
  <c r="AI33" i="19"/>
  <c r="H34" i="19"/>
  <c r="AC34" i="19" s="1"/>
  <c r="Q34" i="19"/>
  <c r="AB34" i="19"/>
  <c r="AF34" i="19"/>
  <c r="AI34" i="19"/>
  <c r="K35" i="19"/>
  <c r="Q35" i="19"/>
  <c r="AB35" i="19"/>
  <c r="AF35" i="19"/>
  <c r="AI35" i="19"/>
  <c r="H11" i="18"/>
  <c r="AB11" i="18"/>
  <c r="Q12" i="18"/>
  <c r="AB12" i="18"/>
  <c r="AB14" i="18"/>
  <c r="K16" i="18"/>
  <c r="O16" i="18" s="1"/>
  <c r="Q16" i="18"/>
  <c r="AB16" i="18"/>
  <c r="H17" i="18"/>
  <c r="AB17" i="18"/>
  <c r="K18" i="18"/>
  <c r="Q18" i="18"/>
  <c r="AB18" i="18"/>
  <c r="H19" i="18"/>
  <c r="AB19" i="18"/>
  <c r="K20" i="18"/>
  <c r="N20" i="18" s="1"/>
  <c r="Q20" i="18"/>
  <c r="AB20" i="18"/>
  <c r="H21" i="18"/>
  <c r="AB21" i="18"/>
  <c r="H22" i="18"/>
  <c r="AB22" i="18"/>
  <c r="H23" i="18"/>
  <c r="AB23" i="18"/>
  <c r="H24" i="18"/>
  <c r="AB24" i="18"/>
  <c r="H25" i="18"/>
  <c r="AB25" i="18"/>
  <c r="H26" i="18"/>
  <c r="Q26" i="18"/>
  <c r="AB26" i="18"/>
  <c r="H27" i="18"/>
  <c r="Q27" i="18"/>
  <c r="AB27" i="18"/>
  <c r="H28" i="18"/>
  <c r="Q28" i="18"/>
  <c r="AB28" i="18"/>
  <c r="H29" i="18"/>
  <c r="Q29" i="18"/>
  <c r="AB29" i="18"/>
  <c r="H34" i="18"/>
  <c r="AB34" i="18"/>
  <c r="H36" i="18"/>
  <c r="AB36" i="18"/>
  <c r="H38" i="18"/>
  <c r="AB38" i="18"/>
  <c r="H40" i="18"/>
  <c r="AB40" i="18"/>
  <c r="K41" i="18"/>
  <c r="N41" i="18" s="1"/>
  <c r="Q41" i="18"/>
  <c r="AB41" i="18"/>
  <c r="H42" i="18"/>
  <c r="AB42" i="18"/>
  <c r="H43" i="18"/>
  <c r="AB43" i="18"/>
  <c r="H44" i="18"/>
  <c r="AB44" i="18"/>
  <c r="H45" i="18"/>
  <c r="AB45" i="18"/>
  <c r="H46" i="18"/>
  <c r="AB46" i="18"/>
  <c r="H47" i="18"/>
  <c r="Q47" i="18"/>
  <c r="AB47" i="18"/>
  <c r="H48" i="18"/>
  <c r="Q48" i="18"/>
  <c r="AB48" i="18"/>
  <c r="H49" i="18"/>
  <c r="Q49" i="18"/>
  <c r="AB49" i="18"/>
  <c r="H50" i="18"/>
  <c r="Q50" i="18"/>
  <c r="AB50" i="18"/>
  <c r="H55" i="18"/>
  <c r="AB55" i="18"/>
  <c r="H57" i="18"/>
  <c r="P57" i="18"/>
  <c r="Q57" i="18" s="1"/>
  <c r="AB57" i="18"/>
  <c r="H59" i="18"/>
  <c r="AB59" i="18"/>
  <c r="H60" i="18"/>
  <c r="AB60" i="18"/>
  <c r="H61" i="18"/>
  <c r="Q61" i="18"/>
  <c r="AB61" i="18"/>
  <c r="H62" i="18"/>
  <c r="Q62" i="18"/>
  <c r="AB62" i="18"/>
  <c r="H11" i="16"/>
  <c r="AB11" i="16"/>
  <c r="H13" i="16"/>
  <c r="AB13" i="16"/>
  <c r="H15" i="16"/>
  <c r="AB15" i="16"/>
  <c r="H17" i="16"/>
  <c r="AC17" i="16" s="1"/>
  <c r="AB17" i="16"/>
  <c r="H19" i="16"/>
  <c r="AC19" i="16" s="1"/>
  <c r="AB19" i="16"/>
  <c r="Q21" i="16"/>
  <c r="AB21" i="16"/>
  <c r="H22" i="16"/>
  <c r="AC22" i="16" s="1"/>
  <c r="AB22" i="16"/>
  <c r="K24" i="16"/>
  <c r="Q24" i="16"/>
  <c r="AB24" i="16"/>
  <c r="K25" i="16"/>
  <c r="O25" i="16" s="1"/>
  <c r="AB25" i="16"/>
  <c r="Q26" i="16"/>
  <c r="AB26" i="16"/>
  <c r="K27" i="16"/>
  <c r="Q27" i="16"/>
  <c r="AB27" i="16"/>
  <c r="K28" i="16"/>
  <c r="O28" i="16" s="1"/>
  <c r="AB28" i="16"/>
  <c r="K29" i="16"/>
  <c r="O29" i="16" s="1"/>
  <c r="AB29" i="16"/>
  <c r="H30" i="16"/>
  <c r="AB30" i="16"/>
  <c r="H31" i="16"/>
  <c r="AB31" i="16"/>
  <c r="H32" i="16"/>
  <c r="AB32" i="16"/>
  <c r="K33" i="16"/>
  <c r="O33" i="16" s="1"/>
  <c r="AB33" i="16"/>
  <c r="Q34" i="16"/>
  <c r="AB34" i="16"/>
  <c r="Q35" i="16"/>
  <c r="AB35" i="16"/>
  <c r="Q36" i="16"/>
  <c r="AB36" i="16"/>
  <c r="Q37" i="16"/>
  <c r="AB37" i="16"/>
  <c r="AB38" i="16"/>
  <c r="H39" i="16"/>
  <c r="Q39" i="16"/>
  <c r="AB39" i="16"/>
  <c r="AB40" i="16"/>
  <c r="H41" i="16"/>
  <c r="Q41" i="16"/>
  <c r="AB41" i="16"/>
  <c r="H42" i="16"/>
  <c r="Q42" i="16"/>
  <c r="AB42" i="16"/>
  <c r="H11" i="15"/>
  <c r="AB11" i="15"/>
  <c r="AJ11" i="15"/>
  <c r="H13" i="15"/>
  <c r="P13" i="15" s="1"/>
  <c r="AB13" i="15"/>
  <c r="AF13" i="15"/>
  <c r="AJ13" i="15"/>
  <c r="H15" i="15"/>
  <c r="AB15" i="15"/>
  <c r="AF15" i="15"/>
  <c r="AJ15" i="15"/>
  <c r="K17" i="15"/>
  <c r="O17" i="15" s="1"/>
  <c r="Q17" i="15"/>
  <c r="AB17" i="15"/>
  <c r="AF17" i="15"/>
  <c r="AJ17" i="15"/>
  <c r="Q18" i="15"/>
  <c r="AB18" i="15"/>
  <c r="AF18" i="15"/>
  <c r="AJ18" i="15"/>
  <c r="Q19" i="15"/>
  <c r="AB19" i="15"/>
  <c r="AF19" i="15"/>
  <c r="AJ19" i="15"/>
  <c r="AB20" i="15"/>
  <c r="AF20" i="15"/>
  <c r="AJ20" i="15"/>
  <c r="H21" i="15"/>
  <c r="Q21" i="15"/>
  <c r="AB21" i="15"/>
  <c r="AF21" i="15"/>
  <c r="AJ21" i="15"/>
  <c r="H26" i="15"/>
  <c r="AB26" i="15"/>
  <c r="AF26" i="15"/>
  <c r="AJ26" i="15"/>
  <c r="H28" i="15"/>
  <c r="AB28" i="15"/>
  <c r="AF28" i="15"/>
  <c r="AJ28" i="15"/>
  <c r="H30" i="15"/>
  <c r="AB30" i="15"/>
  <c r="AF30" i="15"/>
  <c r="AJ30" i="15"/>
  <c r="AB32" i="15"/>
  <c r="AJ32" i="15"/>
  <c r="Q33" i="15"/>
  <c r="AB33" i="15"/>
  <c r="AF33" i="15"/>
  <c r="AJ33" i="15"/>
  <c r="H34" i="15"/>
  <c r="Q34" i="15"/>
  <c r="AB34" i="15"/>
  <c r="AF34" i="15"/>
  <c r="AJ34" i="15"/>
  <c r="H40" i="15"/>
  <c r="AB40" i="15"/>
  <c r="AF40" i="15"/>
  <c r="AJ40" i="15"/>
  <c r="H42" i="15"/>
  <c r="AB42" i="15"/>
  <c r="AF42" i="15"/>
  <c r="AJ42" i="15"/>
  <c r="H44" i="15"/>
  <c r="AB44" i="15"/>
  <c r="AF44" i="15"/>
  <c r="AJ44" i="15"/>
  <c r="H45" i="15"/>
  <c r="Q45" i="15"/>
  <c r="AB45" i="15"/>
  <c r="AF45" i="15"/>
  <c r="AJ45" i="15"/>
  <c r="AF11" i="17"/>
  <c r="AI11" i="17"/>
  <c r="H13" i="17"/>
  <c r="AC13" i="17" s="1"/>
  <c r="AF13" i="17"/>
  <c r="AI13" i="17"/>
  <c r="H15" i="17"/>
  <c r="AC15" i="17" s="1"/>
  <c r="AF15" i="17"/>
  <c r="AI15" i="17"/>
  <c r="K17" i="17"/>
  <c r="Q17" i="17"/>
  <c r="AF17" i="17"/>
  <c r="AI17" i="17"/>
  <c r="K18" i="17"/>
  <c r="AF18" i="17"/>
  <c r="AI18" i="17"/>
  <c r="K19" i="17"/>
  <c r="O19" i="17" s="1"/>
  <c r="Q19" i="17"/>
  <c r="AF19" i="17"/>
  <c r="AI19" i="17"/>
  <c r="H20" i="17"/>
  <c r="AF20" i="17"/>
  <c r="AI20" i="17"/>
  <c r="H21" i="17"/>
  <c r="Q21" i="17"/>
  <c r="AF21" i="17"/>
  <c r="AF26" i="17"/>
  <c r="AI26" i="17"/>
  <c r="H28" i="17"/>
  <c r="AF28" i="17"/>
  <c r="AI28" i="17"/>
  <c r="Q30" i="17"/>
  <c r="AF30" i="17"/>
  <c r="AI30" i="17"/>
  <c r="H32" i="17"/>
  <c r="AF32" i="17"/>
  <c r="AI32" i="17"/>
  <c r="H33" i="17"/>
  <c r="Q33" i="17"/>
  <c r="AB33" i="17"/>
  <c r="AF33" i="17"/>
  <c r="AI33" i="17"/>
  <c r="K27" i="18"/>
  <c r="K45" i="18"/>
  <c r="O45" i="18" s="1"/>
  <c r="K49" i="18"/>
  <c r="K33" i="15"/>
  <c r="N33" i="15" s="1"/>
  <c r="K32" i="15"/>
  <c r="O32" i="15" s="1"/>
  <c r="K39" i="16"/>
  <c r="N39" i="16" s="1"/>
  <c r="K34" i="16"/>
  <c r="O34" i="16" s="1"/>
  <c r="K26" i="16"/>
  <c r="O26" i="16" s="1"/>
  <c r="K21" i="16"/>
  <c r="N21" i="16" s="1"/>
  <c r="K20" i="15"/>
  <c r="N20" i="15" s="1"/>
  <c r="K19" i="15"/>
  <c r="O19" i="15" s="1"/>
  <c r="K18" i="15"/>
  <c r="N18" i="15" s="1"/>
  <c r="I27" i="15" l="1"/>
  <c r="L27" i="15" s="1"/>
  <c r="P26" i="15"/>
  <c r="Q26" i="15" s="1"/>
  <c r="P30" i="16"/>
  <c r="Q30" i="16" s="1"/>
  <c r="AC30" i="16"/>
  <c r="P46" i="18"/>
  <c r="Q46" i="18" s="1"/>
  <c r="AC46" i="18"/>
  <c r="P17" i="18"/>
  <c r="Q17" i="18" s="1"/>
  <c r="AC17" i="18"/>
  <c r="I15" i="18"/>
  <c r="L15" i="18" s="1"/>
  <c r="O15" i="18" s="1"/>
  <c r="AC14" i="18"/>
  <c r="P14" i="18"/>
  <c r="Q14" i="18" s="1"/>
  <c r="Q32" i="17"/>
  <c r="AC32" i="17"/>
  <c r="P32" i="17"/>
  <c r="P60" i="18"/>
  <c r="Q60" i="18" s="1"/>
  <c r="AC60" i="18"/>
  <c r="AC55" i="18"/>
  <c r="P55" i="18"/>
  <c r="Q55" i="18" s="1"/>
  <c r="AC40" i="18"/>
  <c r="P40" i="18"/>
  <c r="Q40" i="18" s="1"/>
  <c r="P22" i="18"/>
  <c r="Q22" i="18" s="1"/>
  <c r="AC22" i="18"/>
  <c r="K26" i="15"/>
  <c r="M27" i="15" s="1"/>
  <c r="I39" i="18"/>
  <c r="L39" i="18" s="1"/>
  <c r="N39" i="18" s="1"/>
  <c r="P38" i="18"/>
  <c r="Q38" i="18" s="1"/>
  <c r="AC38" i="18"/>
  <c r="I43" i="15"/>
  <c r="L43" i="15" s="1"/>
  <c r="P42" i="15"/>
  <c r="Q42" i="15" s="1"/>
  <c r="AC42" i="15"/>
  <c r="I31" i="15"/>
  <c r="L31" i="15" s="1"/>
  <c r="O31" i="15" s="1"/>
  <c r="P30" i="15"/>
  <c r="Q30" i="15" s="1"/>
  <c r="P31" i="16"/>
  <c r="Q31" i="16" s="1"/>
  <c r="AC31" i="16"/>
  <c r="AC44" i="18"/>
  <c r="P44" i="18"/>
  <c r="Q44" i="18" s="1"/>
  <c r="I35" i="18"/>
  <c r="L35" i="18" s="1"/>
  <c r="AC34" i="18"/>
  <c r="P34" i="18"/>
  <c r="Q34" i="18" s="1"/>
  <c r="AC23" i="18"/>
  <c r="P23" i="18"/>
  <c r="Q23" i="18" s="1"/>
  <c r="AC19" i="18"/>
  <c r="P19" i="18"/>
  <c r="Q19" i="18" s="1"/>
  <c r="P11" i="18"/>
  <c r="Q11" i="18" s="1"/>
  <c r="AC11" i="18"/>
  <c r="AC44" i="15"/>
  <c r="P44" i="15"/>
  <c r="Q44" i="15" s="1"/>
  <c r="P32" i="16"/>
  <c r="Q32" i="16" s="1"/>
  <c r="AC32" i="16"/>
  <c r="AC43" i="18"/>
  <c r="P43" i="18"/>
  <c r="P21" i="18"/>
  <c r="Q21" i="18" s="1"/>
  <c r="AC21" i="18"/>
  <c r="AC40" i="15"/>
  <c r="P40" i="15"/>
  <c r="Q40" i="15" s="1"/>
  <c r="K19" i="16"/>
  <c r="N19" i="16" s="1"/>
  <c r="AC28" i="17"/>
  <c r="P28" i="17"/>
  <c r="P20" i="17"/>
  <c r="Q20" i="17" s="1"/>
  <c r="AC20" i="17"/>
  <c r="I29" i="15"/>
  <c r="L29" i="15" s="1"/>
  <c r="N29" i="15" s="1"/>
  <c r="P28" i="15"/>
  <c r="Q28" i="15" s="1"/>
  <c r="P59" i="18"/>
  <c r="AC59" i="18"/>
  <c r="AC45" i="18"/>
  <c r="P45" i="18"/>
  <c r="Q45" i="18" s="1"/>
  <c r="P42" i="18"/>
  <c r="Q42" i="18" s="1"/>
  <c r="AC42" i="18"/>
  <c r="I37" i="18"/>
  <c r="L37" i="18" s="1"/>
  <c r="N37" i="18" s="1"/>
  <c r="P36" i="18"/>
  <c r="Q36" i="18" s="1"/>
  <c r="AC36" i="18"/>
  <c r="P24" i="18"/>
  <c r="Q24" i="18" s="1"/>
  <c r="AC24" i="18"/>
  <c r="N35" i="19"/>
  <c r="AC19" i="19"/>
  <c r="P19" i="19"/>
  <c r="Q19" i="19" s="1"/>
  <c r="P31" i="19"/>
  <c r="Q31" i="19" s="1"/>
  <c r="AC31" i="19"/>
  <c r="I32" i="19"/>
  <c r="L32" i="19" s="1"/>
  <c r="O32" i="19" s="1"/>
  <c r="P18" i="19"/>
  <c r="Q18" i="19" s="1"/>
  <c r="AC18" i="19"/>
  <c r="P13" i="19"/>
  <c r="Q13" i="19" s="1"/>
  <c r="AC13" i="19"/>
  <c r="I14" i="19"/>
  <c r="L14" i="19" s="1"/>
  <c r="O14" i="19" s="1"/>
  <c r="AC29" i="19"/>
  <c r="P29" i="19"/>
  <c r="Q29" i="19" s="1"/>
  <c r="I30" i="19"/>
  <c r="L30" i="19" s="1"/>
  <c r="AC11" i="19"/>
  <c r="P11" i="19"/>
  <c r="Q11" i="19" s="1"/>
  <c r="I12" i="19"/>
  <c r="L12" i="19" s="1"/>
  <c r="AC33" i="19"/>
  <c r="P33" i="19"/>
  <c r="Q33" i="19" s="1"/>
  <c r="AC16" i="19"/>
  <c r="P16" i="19"/>
  <c r="Q16" i="19" s="1"/>
  <c r="P22" i="16"/>
  <c r="Q22" i="16" s="1"/>
  <c r="I23" i="16"/>
  <c r="L23" i="16" s="1"/>
  <c r="R23" i="16" s="1"/>
  <c r="P19" i="16"/>
  <c r="Q19" i="16" s="1"/>
  <c r="I20" i="16"/>
  <c r="L20" i="16" s="1"/>
  <c r="R20" i="16" s="1"/>
  <c r="P17" i="16"/>
  <c r="Q17" i="16" s="1"/>
  <c r="I18" i="16"/>
  <c r="L18" i="16" s="1"/>
  <c r="P15" i="16"/>
  <c r="Q15" i="16" s="1"/>
  <c r="I16" i="16"/>
  <c r="L16" i="16" s="1"/>
  <c r="R16" i="16" s="1"/>
  <c r="P13" i="16"/>
  <c r="Q13" i="16" s="1"/>
  <c r="I14" i="16"/>
  <c r="L14" i="16" s="1"/>
  <c r="R14" i="16" s="1"/>
  <c r="P11" i="16"/>
  <c r="Q11" i="16" s="1"/>
  <c r="I12" i="16"/>
  <c r="L12" i="16" s="1"/>
  <c r="P15" i="15"/>
  <c r="Q15" i="15" s="1"/>
  <c r="I16" i="15"/>
  <c r="L16" i="15" s="1"/>
  <c r="O16" i="15" s="1"/>
  <c r="Q13" i="15"/>
  <c r="I14" i="15"/>
  <c r="L14" i="15" s="1"/>
  <c r="O14" i="15" s="1"/>
  <c r="K40" i="15"/>
  <c r="N40" i="15" s="1"/>
  <c r="I41" i="15"/>
  <c r="L41" i="15" s="1"/>
  <c r="P11" i="15"/>
  <c r="Q11" i="15" s="1"/>
  <c r="I12" i="15"/>
  <c r="L12" i="15" s="1"/>
  <c r="P13" i="17"/>
  <c r="Q13" i="17" s="1"/>
  <c r="I14" i="17"/>
  <c r="L14" i="17" s="1"/>
  <c r="O14" i="17" s="1"/>
  <c r="Q11" i="17"/>
  <c r="I12" i="17"/>
  <c r="L12" i="17" s="1"/>
  <c r="K13" i="17"/>
  <c r="N13" i="17" s="1"/>
  <c r="Q28" i="17"/>
  <c r="I29" i="17"/>
  <c r="L29" i="17" s="1"/>
  <c r="O29" i="17" s="1"/>
  <c r="Q26" i="17"/>
  <c r="I27" i="17"/>
  <c r="L27" i="17" s="1"/>
  <c r="P15" i="17"/>
  <c r="Q15" i="17" s="1"/>
  <c r="I16" i="17"/>
  <c r="L16" i="17" s="1"/>
  <c r="O16" i="17" s="1"/>
  <c r="K28" i="18"/>
  <c r="N28" i="18" s="1"/>
  <c r="AG33" i="19"/>
  <c r="AG16" i="19"/>
  <c r="K50" i="18"/>
  <c r="O50" i="18" s="1"/>
  <c r="K23" i="19"/>
  <c r="O23" i="19" s="1"/>
  <c r="AG19" i="19"/>
  <c r="K47" i="18"/>
  <c r="O47" i="18" s="1"/>
  <c r="K55" i="18"/>
  <c r="N55" i="18" s="1"/>
  <c r="K26" i="18"/>
  <c r="O26" i="18" s="1"/>
  <c r="AG31" i="19"/>
  <c r="O22" i="19"/>
  <c r="AG18" i="19"/>
  <c r="AG13" i="19"/>
  <c r="K24" i="19"/>
  <c r="N24" i="19" s="1"/>
  <c r="K43" i="18"/>
  <c r="O43" i="18" s="1"/>
  <c r="K16" i="19"/>
  <c r="N16" i="19" s="1"/>
  <c r="AC11" i="15"/>
  <c r="AC57" i="18"/>
  <c r="K48" i="18"/>
  <c r="O48" i="18" s="1"/>
  <c r="K29" i="18"/>
  <c r="N29" i="18" s="1"/>
  <c r="K25" i="18"/>
  <c r="N25" i="18" s="1"/>
  <c r="AG34" i="19"/>
  <c r="AG29" i="19"/>
  <c r="N17" i="19"/>
  <c r="AG11" i="19"/>
  <c r="K45" i="15"/>
  <c r="N45" i="15" s="1"/>
  <c r="AC30" i="15"/>
  <c r="AC28" i="15"/>
  <c r="K21" i="15"/>
  <c r="O21" i="15" s="1"/>
  <c r="AC15" i="15"/>
  <c r="K41" i="16"/>
  <c r="O41" i="16" s="1"/>
  <c r="K37" i="16"/>
  <c r="O37" i="16" s="1"/>
  <c r="K35" i="16"/>
  <c r="N35" i="16" s="1"/>
  <c r="AC13" i="16"/>
  <c r="K11" i="15"/>
  <c r="O11" i="15" s="1"/>
  <c r="K30" i="15"/>
  <c r="N30" i="15" s="1"/>
  <c r="K34" i="15"/>
  <c r="O34" i="15" s="1"/>
  <c r="K18" i="19"/>
  <c r="O18" i="19" s="1"/>
  <c r="K33" i="17"/>
  <c r="N33" i="17" s="1"/>
  <c r="AG32" i="17"/>
  <c r="AG30" i="17"/>
  <c r="K21" i="17"/>
  <c r="O21" i="17" s="1"/>
  <c r="AG13" i="17"/>
  <c r="K44" i="15"/>
  <c r="N44" i="15" s="1"/>
  <c r="K42" i="15"/>
  <c r="O42" i="15" s="1"/>
  <c r="K28" i="15"/>
  <c r="N28" i="15" s="1"/>
  <c r="AC26" i="15"/>
  <c r="AC13" i="15"/>
  <c r="K42" i="16"/>
  <c r="O42" i="16" s="1"/>
  <c r="K40" i="16"/>
  <c r="N40" i="16" s="1"/>
  <c r="K38" i="16"/>
  <c r="O38" i="16" s="1"/>
  <c r="K36" i="16"/>
  <c r="N36" i="16" s="1"/>
  <c r="AC15" i="16"/>
  <c r="AC11" i="16"/>
  <c r="K34" i="18"/>
  <c r="M35" i="18" s="1"/>
  <c r="K11" i="18"/>
  <c r="N11" i="18" s="1"/>
  <c r="K13" i="19"/>
  <c r="N13" i="19" s="1"/>
  <c r="M41" i="15"/>
  <c r="N28" i="16"/>
  <c r="K17" i="18"/>
  <c r="O17" i="18" s="1"/>
  <c r="K36" i="18"/>
  <c r="N36" i="18" s="1"/>
  <c r="K29" i="19"/>
  <c r="O29" i="19" s="1"/>
  <c r="K15" i="15"/>
  <c r="N15" i="15" s="1"/>
  <c r="N30" i="19"/>
  <c r="K19" i="19"/>
  <c r="O19" i="19" s="1"/>
  <c r="O40" i="15"/>
  <c r="K13" i="15"/>
  <c r="N13" i="15" s="1"/>
  <c r="K30" i="17"/>
  <c r="N30" i="17" s="1"/>
  <c r="K11" i="16"/>
  <c r="O11" i="16" s="1"/>
  <c r="K30" i="16"/>
  <c r="N22" i="19"/>
  <c r="K33" i="19"/>
  <c r="N33" i="19" s="1"/>
  <c r="K42" i="18"/>
  <c r="O42" i="18" s="1"/>
  <c r="K14" i="18"/>
  <c r="N14" i="18" s="1"/>
  <c r="K34" i="19"/>
  <c r="K11" i="19"/>
  <c r="O11" i="19" s="1"/>
  <c r="K46" i="18"/>
  <c r="O46" i="18" s="1"/>
  <c r="K40" i="18"/>
  <c r="O40" i="18" s="1"/>
  <c r="K38" i="18"/>
  <c r="O38" i="18" s="1"/>
  <c r="K59" i="18"/>
  <c r="N59" i="18" s="1"/>
  <c r="K44" i="18"/>
  <c r="N44" i="18" s="1"/>
  <c r="K23" i="18"/>
  <c r="O23" i="18" s="1"/>
  <c r="K19" i="18"/>
  <c r="N19" i="18" s="1"/>
  <c r="K12" i="18"/>
  <c r="M13" i="18" s="1"/>
  <c r="O13" i="18" s="1"/>
  <c r="K32" i="16"/>
  <c r="O32" i="16" s="1"/>
  <c r="K31" i="16"/>
  <c r="K22" i="16"/>
  <c r="N22" i="16" s="1"/>
  <c r="K17" i="16"/>
  <c r="O17" i="16" s="1"/>
  <c r="K15" i="16"/>
  <c r="K13" i="16"/>
  <c r="N13" i="16" s="1"/>
  <c r="N31" i="15"/>
  <c r="T31" i="15" s="1"/>
  <c r="X31" i="15" s="1"/>
  <c r="K28" i="17"/>
  <c r="O28" i="17" s="1"/>
  <c r="AG28" i="17"/>
  <c r="K11" i="17"/>
  <c r="O11" i="17" s="1"/>
  <c r="AG11" i="17"/>
  <c r="K26" i="17"/>
  <c r="N26" i="17" s="1"/>
  <c r="AG26" i="17"/>
  <c r="K20" i="17"/>
  <c r="O20" i="17" s="1"/>
  <c r="AG20" i="17"/>
  <c r="K15" i="17"/>
  <c r="N15" i="17" s="1"/>
  <c r="AG15" i="17"/>
  <c r="K32" i="17"/>
  <c r="N32" i="17" s="1"/>
  <c r="O26" i="15"/>
  <c r="O33" i="15"/>
  <c r="T33" i="15" s="1"/>
  <c r="N16" i="18"/>
  <c r="T16" i="18" s="1"/>
  <c r="O35" i="19"/>
  <c r="O41" i="18"/>
  <c r="T41" i="18" s="1"/>
  <c r="N15" i="18"/>
  <c r="T15" i="18" s="1"/>
  <c r="V15" i="18" s="1"/>
  <c r="O18" i="15"/>
  <c r="T18" i="15" s="1"/>
  <c r="N19" i="15"/>
  <c r="T19" i="15" s="1"/>
  <c r="N17" i="15"/>
  <c r="T17" i="15" s="1"/>
  <c r="K57" i="18"/>
  <c r="N45" i="18"/>
  <c r="T45" i="18" s="1"/>
  <c r="K61" i="18"/>
  <c r="N61" i="18" s="1"/>
  <c r="N58" i="18"/>
  <c r="K21" i="18"/>
  <c r="O21" i="18" s="1"/>
  <c r="K60" i="18"/>
  <c r="O60" i="18" s="1"/>
  <c r="K62" i="18"/>
  <c r="O62" i="18" s="1"/>
  <c r="K24" i="18"/>
  <c r="N24" i="18" s="1"/>
  <c r="K22" i="18"/>
  <c r="N22" i="18" s="1"/>
  <c r="N34" i="16"/>
  <c r="N33" i="16"/>
  <c r="N25" i="16"/>
  <c r="N32" i="15"/>
  <c r="O20" i="15"/>
  <c r="R28" i="16"/>
  <c r="N19" i="19"/>
  <c r="N29" i="16"/>
  <c r="N20" i="16"/>
  <c r="R26" i="16"/>
  <c r="N26" i="16"/>
  <c r="R21" i="16"/>
  <c r="O30" i="19"/>
  <c r="N32" i="19"/>
  <c r="T32" i="19" s="1"/>
  <c r="R24" i="16"/>
  <c r="M56" i="18"/>
  <c r="O18" i="18"/>
  <c r="N18" i="18"/>
  <c r="O21" i="19"/>
  <c r="N21" i="19"/>
  <c r="O15" i="19"/>
  <c r="N15" i="19"/>
  <c r="N14" i="15"/>
  <c r="T14" i="15" s="1"/>
  <c r="N27" i="18"/>
  <c r="O27" i="18"/>
  <c r="O20" i="19"/>
  <c r="N20" i="19"/>
  <c r="O13" i="17"/>
  <c r="T13" i="17" s="1"/>
  <c r="R34" i="16"/>
  <c r="N31" i="17"/>
  <c r="T31" i="17" s="1"/>
  <c r="W31" i="17" s="1"/>
  <c r="N27" i="15"/>
  <c r="O27" i="15"/>
  <c r="O17" i="17"/>
  <c r="N17" i="17"/>
  <c r="N18" i="17"/>
  <c r="O18" i="17"/>
  <c r="N19" i="17"/>
  <c r="T19" i="17" s="1"/>
  <c r="N21" i="17"/>
  <c r="T21" i="17" s="1"/>
  <c r="Q18" i="17"/>
  <c r="O28" i="15"/>
  <c r="Q20" i="15"/>
  <c r="Q38" i="16"/>
  <c r="Q33" i="16"/>
  <c r="R33" i="16"/>
  <c r="R29" i="16"/>
  <c r="Q29" i="16"/>
  <c r="R25" i="16"/>
  <c r="Q25" i="16"/>
  <c r="O24" i="16"/>
  <c r="N24" i="16"/>
  <c r="Q43" i="18"/>
  <c r="N14" i="19"/>
  <c r="Q32" i="15"/>
  <c r="Q59" i="18"/>
  <c r="Q25" i="18"/>
  <c r="O20" i="18"/>
  <c r="T20" i="18" s="1"/>
  <c r="N31" i="19"/>
  <c r="O31" i="19"/>
  <c r="R39" i="16"/>
  <c r="O39" i="16"/>
  <c r="O49" i="18"/>
  <c r="N49" i="18"/>
  <c r="O24" i="19"/>
  <c r="O43" i="15"/>
  <c r="N43" i="15"/>
  <c r="O16" i="16"/>
  <c r="O21" i="16"/>
  <c r="O58" i="18"/>
  <c r="Q40" i="16"/>
  <c r="Q28" i="16"/>
  <c r="N27" i="16"/>
  <c r="O27" i="16"/>
  <c r="R27" i="16"/>
  <c r="O17" i="19"/>
  <c r="N37" i="16" l="1"/>
  <c r="O39" i="18"/>
  <c r="N35" i="18"/>
  <c r="O19" i="16"/>
  <c r="O29" i="15"/>
  <c r="T29" i="15" s="1"/>
  <c r="N26" i="15"/>
  <c r="R31" i="16"/>
  <c r="R30" i="16"/>
  <c r="O37" i="18"/>
  <c r="T37" i="18" s="1"/>
  <c r="V37" i="18" s="1"/>
  <c r="O23" i="16"/>
  <c r="N23" i="16"/>
  <c r="R19" i="16"/>
  <c r="R15" i="16"/>
  <c r="R37" i="16"/>
  <c r="T35" i="19"/>
  <c r="X35" i="19" s="1"/>
  <c r="N43" i="18"/>
  <c r="T43" i="18" s="1"/>
  <c r="N14" i="16"/>
  <c r="N16" i="15"/>
  <c r="T16" i="15" s="1"/>
  <c r="X16" i="15" s="1"/>
  <c r="O14" i="16"/>
  <c r="N14" i="17"/>
  <c r="T14" i="17" s="1"/>
  <c r="V14" i="17" s="1"/>
  <c r="O28" i="18"/>
  <c r="T28" i="18" s="1"/>
  <c r="O36" i="16"/>
  <c r="N42" i="16"/>
  <c r="N38" i="16"/>
  <c r="O41" i="15"/>
  <c r="N34" i="15"/>
  <c r="T34" i="15" s="1"/>
  <c r="Y34" i="15" s="1"/>
  <c r="N11" i="15"/>
  <c r="T11" i="15" s="1"/>
  <c r="V11" i="15" s="1"/>
  <c r="T40" i="15"/>
  <c r="V40" i="15" s="1"/>
  <c r="N23" i="19"/>
  <c r="T23" i="19" s="1"/>
  <c r="O13" i="19"/>
  <c r="T13" i="19" s="1"/>
  <c r="Y13" i="19" s="1"/>
  <c r="N50" i="18"/>
  <c r="T50" i="18" s="1"/>
  <c r="O29" i="18"/>
  <c r="T29" i="18" s="1"/>
  <c r="Y29" i="18" s="1"/>
  <c r="O40" i="16"/>
  <c r="R40" i="16"/>
  <c r="N16" i="16"/>
  <c r="T16" i="16" s="1"/>
  <c r="R36" i="16"/>
  <c r="O20" i="16"/>
  <c r="T20" i="16" s="1"/>
  <c r="O44" i="15"/>
  <c r="T44" i="15" s="1"/>
  <c r="N41" i="15"/>
  <c r="O30" i="15"/>
  <c r="T30" i="15" s="1"/>
  <c r="Y30" i="15" s="1"/>
  <c r="N29" i="17"/>
  <c r="T29" i="17" s="1"/>
  <c r="V29" i="17" s="1"/>
  <c r="N16" i="17"/>
  <c r="T16" i="17" s="1"/>
  <c r="W16" i="17" s="1"/>
  <c r="R38" i="16"/>
  <c r="R42" i="16"/>
  <c r="N42" i="15"/>
  <c r="T42" i="15" s="1"/>
  <c r="U42" i="15" s="1"/>
  <c r="N18" i="19"/>
  <c r="T18" i="19" s="1"/>
  <c r="W18" i="19" s="1"/>
  <c r="O35" i="18"/>
  <c r="T35" i="18" s="1"/>
  <c r="V35" i="18" s="1"/>
  <c r="N34" i="18"/>
  <c r="O34" i="18"/>
  <c r="N48" i="18"/>
  <c r="T48" i="18" s="1"/>
  <c r="M27" i="17"/>
  <c r="N27" i="17" s="1"/>
  <c r="O35" i="16"/>
  <c r="O16" i="19"/>
  <c r="T16" i="19" s="1"/>
  <c r="V16" i="19" s="1"/>
  <c r="O33" i="17"/>
  <c r="T33" i="17" s="1"/>
  <c r="M12" i="15"/>
  <c r="N12" i="15" s="1"/>
  <c r="O55" i="18"/>
  <c r="T55" i="18" s="1"/>
  <c r="N47" i="18"/>
  <c r="T47" i="18" s="1"/>
  <c r="U47" i="18" s="1"/>
  <c r="R35" i="16"/>
  <c r="N26" i="18"/>
  <c r="T26" i="18" s="1"/>
  <c r="V26" i="18" s="1"/>
  <c r="Y41" i="18"/>
  <c r="T22" i="19"/>
  <c r="U22" i="19" s="1"/>
  <c r="R41" i="16"/>
  <c r="O25" i="18"/>
  <c r="T25" i="18" s="1"/>
  <c r="O11" i="18"/>
  <c r="N41" i="16"/>
  <c r="O45" i="15"/>
  <c r="T45" i="15" s="1"/>
  <c r="W45" i="15" s="1"/>
  <c r="N21" i="15"/>
  <c r="T21" i="15" s="1"/>
  <c r="W21" i="15" s="1"/>
  <c r="W21" i="17"/>
  <c r="N13" i="18"/>
  <c r="T13" i="18" s="1"/>
  <c r="Y13" i="18" s="1"/>
  <c r="N30" i="16"/>
  <c r="M18" i="16"/>
  <c r="N18" i="16" s="1"/>
  <c r="O15" i="17"/>
  <c r="T15" i="17" s="1"/>
  <c r="O36" i="18"/>
  <c r="T36" i="18" s="1"/>
  <c r="O24" i="18"/>
  <c r="T24" i="18" s="1"/>
  <c r="U24" i="18" s="1"/>
  <c r="O19" i="18"/>
  <c r="T19" i="18" s="1"/>
  <c r="W19" i="18" s="1"/>
  <c r="M12" i="16"/>
  <c r="R12" i="16" s="1"/>
  <c r="N38" i="18"/>
  <c r="T38" i="18" s="1"/>
  <c r="R22" i="16"/>
  <c r="O22" i="16"/>
  <c r="T28" i="16"/>
  <c r="Y28" i="16" s="1"/>
  <c r="T30" i="19"/>
  <c r="U30" i="19" s="1"/>
  <c r="R11" i="16"/>
  <c r="N17" i="18"/>
  <c r="T17" i="18" s="1"/>
  <c r="N11" i="16"/>
  <c r="N42" i="18"/>
  <c r="T42" i="18" s="1"/>
  <c r="O13" i="16"/>
  <c r="O44" i="18"/>
  <c r="T44" i="18" s="1"/>
  <c r="V44" i="18" s="1"/>
  <c r="N11" i="19"/>
  <c r="T11" i="19" s="1"/>
  <c r="V11" i="19" s="1"/>
  <c r="M12" i="19"/>
  <c r="O12" i="19" s="1"/>
  <c r="O31" i="16"/>
  <c r="O15" i="15"/>
  <c r="T15" i="15" s="1"/>
  <c r="N11" i="17"/>
  <c r="T11" i="17" s="1"/>
  <c r="N31" i="16"/>
  <c r="AD31" i="16" s="1"/>
  <c r="O33" i="19"/>
  <c r="T33" i="19" s="1"/>
  <c r="W33" i="19" s="1"/>
  <c r="O13" i="15"/>
  <c r="T13" i="15" s="1"/>
  <c r="R13" i="16"/>
  <c r="N46" i="18"/>
  <c r="O30" i="17"/>
  <c r="T30" i="17" s="1"/>
  <c r="N20" i="17"/>
  <c r="T20" i="17" s="1"/>
  <c r="W20" i="17" s="1"/>
  <c r="O30" i="16"/>
  <c r="N40" i="18"/>
  <c r="T40" i="18" s="1"/>
  <c r="N32" i="16"/>
  <c r="N12" i="18"/>
  <c r="R32" i="16"/>
  <c r="O26" i="17"/>
  <c r="T26" i="17" s="1"/>
  <c r="O59" i="18"/>
  <c r="T59" i="18" s="1"/>
  <c r="U59" i="18" s="1"/>
  <c r="N23" i="18"/>
  <c r="T19" i="19"/>
  <c r="W19" i="19" s="1"/>
  <c r="O34" i="19"/>
  <c r="N34" i="19"/>
  <c r="O12" i="18"/>
  <c r="N28" i="17"/>
  <c r="T28" i="17" s="1"/>
  <c r="N29" i="19"/>
  <c r="T29" i="19" s="1"/>
  <c r="O14" i="18"/>
  <c r="T14" i="18" s="1"/>
  <c r="R17" i="16"/>
  <c r="T26" i="15"/>
  <c r="N17" i="16"/>
  <c r="T37" i="16"/>
  <c r="N15" i="16"/>
  <c r="O15" i="16"/>
  <c r="T39" i="18"/>
  <c r="Y39" i="18" s="1"/>
  <c r="M12" i="17"/>
  <c r="N12" i="17" s="1"/>
  <c r="O32" i="17"/>
  <c r="T32" i="17" s="1"/>
  <c r="T15" i="19"/>
  <c r="Y31" i="17"/>
  <c r="N60" i="18"/>
  <c r="T32" i="15"/>
  <c r="N62" i="18"/>
  <c r="T62" i="18" s="1"/>
  <c r="V41" i="18"/>
  <c r="U31" i="15"/>
  <c r="X41" i="18"/>
  <c r="W19" i="17"/>
  <c r="V19" i="15"/>
  <c r="V13" i="19"/>
  <c r="T43" i="15"/>
  <c r="X43" i="15" s="1"/>
  <c r="T39" i="16"/>
  <c r="W41" i="18"/>
  <c r="T20" i="15"/>
  <c r="T34" i="16"/>
  <c r="T27" i="18"/>
  <c r="T21" i="19"/>
  <c r="Y21" i="19" s="1"/>
  <c r="N21" i="18"/>
  <c r="O61" i="18"/>
  <c r="T61" i="18" s="1"/>
  <c r="T58" i="18"/>
  <c r="X58" i="18" s="1"/>
  <c r="O57" i="18"/>
  <c r="N57" i="18"/>
  <c r="O22" i="18"/>
  <c r="T22" i="18" s="1"/>
  <c r="U41" i="18"/>
  <c r="T20" i="19"/>
  <c r="T24" i="16"/>
  <c r="T21" i="16"/>
  <c r="X19" i="15"/>
  <c r="T25" i="16"/>
  <c r="X31" i="17"/>
  <c r="T26" i="16"/>
  <c r="W15" i="18"/>
  <c r="U31" i="17"/>
  <c r="V31" i="17"/>
  <c r="Y15" i="18"/>
  <c r="Y19" i="15"/>
  <c r="V31" i="15"/>
  <c r="X15" i="18"/>
  <c r="W19" i="15"/>
  <c r="T14" i="19"/>
  <c r="X14" i="19" s="1"/>
  <c r="T29" i="16"/>
  <c r="T33" i="16"/>
  <c r="Y31" i="15"/>
  <c r="T24" i="19"/>
  <c r="U15" i="18"/>
  <c r="U19" i="15"/>
  <c r="W31" i="15"/>
  <c r="T17" i="17"/>
  <c r="X14" i="15"/>
  <c r="U14" i="15"/>
  <c r="Y14" i="15"/>
  <c r="O56" i="18"/>
  <c r="N56" i="18"/>
  <c r="T49" i="18"/>
  <c r="V14" i="15"/>
  <c r="W14" i="15"/>
  <c r="T18" i="18"/>
  <c r="T28" i="15"/>
  <c r="T31" i="19"/>
  <c r="T27" i="15"/>
  <c r="X27" i="15" s="1"/>
  <c r="T18" i="17"/>
  <c r="Y21" i="17"/>
  <c r="X19" i="17"/>
  <c r="V19" i="17"/>
  <c r="U19" i="17"/>
  <c r="Y19" i="17"/>
  <c r="V21" i="17"/>
  <c r="U21" i="17"/>
  <c r="X21" i="17"/>
  <c r="Y32" i="19"/>
  <c r="U32" i="19"/>
  <c r="X32" i="19"/>
  <c r="V32" i="19"/>
  <c r="W32" i="19"/>
  <c r="X18" i="15"/>
  <c r="U18" i="15"/>
  <c r="V18" i="15"/>
  <c r="Y18" i="15"/>
  <c r="W18" i="15"/>
  <c r="T27" i="16"/>
  <c r="T23" i="16"/>
  <c r="Y16" i="18"/>
  <c r="V16" i="18"/>
  <c r="U16" i="18"/>
  <c r="W16" i="18"/>
  <c r="X16" i="18"/>
  <c r="Y17" i="15"/>
  <c r="X17" i="15"/>
  <c r="W17" i="15"/>
  <c r="U17" i="15"/>
  <c r="V17" i="15"/>
  <c r="X33" i="15"/>
  <c r="W33" i="15"/>
  <c r="V33" i="15"/>
  <c r="Y33" i="15"/>
  <c r="U33" i="15"/>
  <c r="Y20" i="18"/>
  <c r="U20" i="18"/>
  <c r="V20" i="18"/>
  <c r="X20" i="18"/>
  <c r="W20" i="18"/>
  <c r="X45" i="18"/>
  <c r="W45" i="18"/>
  <c r="U45" i="18"/>
  <c r="V45" i="18"/>
  <c r="Y45" i="18"/>
  <c r="T17" i="19"/>
  <c r="Y13" i="17"/>
  <c r="V13" i="17"/>
  <c r="W13" i="17"/>
  <c r="U13" i="17"/>
  <c r="X13" i="17"/>
  <c r="X29" i="17"/>
  <c r="AD30" i="16" l="1"/>
  <c r="AD32" i="16"/>
  <c r="T19" i="16"/>
  <c r="W19" i="16" s="1"/>
  <c r="W14" i="17"/>
  <c r="U13" i="19"/>
  <c r="U16" i="15"/>
  <c r="W16" i="15"/>
  <c r="X13" i="19"/>
  <c r="T38" i="16"/>
  <c r="Y38" i="16" s="1"/>
  <c r="Y14" i="17"/>
  <c r="U14" i="17"/>
  <c r="X14" i="17"/>
  <c r="X30" i="15"/>
  <c r="U34" i="15"/>
  <c r="V16" i="15"/>
  <c r="Y16" i="15"/>
  <c r="X34" i="15"/>
  <c r="X16" i="17"/>
  <c r="T36" i="16"/>
  <c r="W36" i="16" s="1"/>
  <c r="V34" i="15"/>
  <c r="W34" i="15"/>
  <c r="W13" i="19"/>
  <c r="T41" i="16"/>
  <c r="X41" i="16" s="1"/>
  <c r="T34" i="18"/>
  <c r="W34" i="18" s="1"/>
  <c r="T14" i="16"/>
  <c r="U14" i="16" s="1"/>
  <c r="T40" i="16"/>
  <c r="U40" i="16" s="1"/>
  <c r="W35" i="19"/>
  <c r="Y35" i="19"/>
  <c r="U35" i="19"/>
  <c r="Y11" i="15"/>
  <c r="V35" i="19"/>
  <c r="W30" i="15"/>
  <c r="U30" i="15"/>
  <c r="V30" i="15"/>
  <c r="Y29" i="17"/>
  <c r="U29" i="17"/>
  <c r="W29" i="17"/>
  <c r="T41" i="15"/>
  <c r="Y41" i="15" s="1"/>
  <c r="Y20" i="16"/>
  <c r="V20" i="16"/>
  <c r="X11" i="15"/>
  <c r="W11" i="15"/>
  <c r="U29" i="18"/>
  <c r="T42" i="16"/>
  <c r="W42" i="16" s="1"/>
  <c r="V29" i="18"/>
  <c r="W40" i="15"/>
  <c r="U20" i="16"/>
  <c r="W29" i="18"/>
  <c r="U11" i="15"/>
  <c r="Y40" i="15"/>
  <c r="Y16" i="17"/>
  <c r="U40" i="15"/>
  <c r="X20" i="16"/>
  <c r="W20" i="16"/>
  <c r="X40" i="15"/>
  <c r="X18" i="19"/>
  <c r="X29" i="18"/>
  <c r="V16" i="17"/>
  <c r="U16" i="17"/>
  <c r="T35" i="16"/>
  <c r="X35" i="16" s="1"/>
  <c r="O27" i="17"/>
  <c r="T27" i="17" s="1"/>
  <c r="X27" i="17" s="1"/>
  <c r="V18" i="19"/>
  <c r="Y18" i="19"/>
  <c r="U18" i="19"/>
  <c r="W30" i="19"/>
  <c r="U45" i="15"/>
  <c r="W26" i="18"/>
  <c r="X45" i="15"/>
  <c r="O12" i="15"/>
  <c r="T12" i="15" s="1"/>
  <c r="U12" i="15" s="1"/>
  <c r="V45" i="15"/>
  <c r="X26" i="18"/>
  <c r="Y26" i="18"/>
  <c r="Y45" i="15"/>
  <c r="W22" i="19"/>
  <c r="X22" i="19"/>
  <c r="X19" i="19"/>
  <c r="T31" i="16"/>
  <c r="V31" i="16" s="1"/>
  <c r="AD41" i="18"/>
  <c r="V30" i="19"/>
  <c r="AD19" i="15"/>
  <c r="V22" i="19"/>
  <c r="AD20" i="18"/>
  <c r="AD33" i="15"/>
  <c r="AD45" i="18"/>
  <c r="AD19" i="17"/>
  <c r="AD13" i="17"/>
  <c r="AD17" i="15"/>
  <c r="AD16" i="18"/>
  <c r="AD18" i="15"/>
  <c r="X28" i="18"/>
  <c r="W27" i="18"/>
  <c r="Y25" i="18"/>
  <c r="W29" i="19"/>
  <c r="V40" i="18"/>
  <c r="T46" i="18"/>
  <c r="W46" i="18" s="1"/>
  <c r="Y22" i="19"/>
  <c r="T11" i="18"/>
  <c r="Y11" i="18" s="1"/>
  <c r="Y15" i="19"/>
  <c r="U42" i="18"/>
  <c r="V38" i="18"/>
  <c r="X36" i="18"/>
  <c r="U26" i="18"/>
  <c r="Y20" i="19"/>
  <c r="Y55" i="18"/>
  <c r="V62" i="18"/>
  <c r="U11" i="19"/>
  <c r="T60" i="18"/>
  <c r="Y60" i="18" s="1"/>
  <c r="Y21" i="15"/>
  <c r="U21" i="15"/>
  <c r="Y24" i="19"/>
  <c r="X21" i="15"/>
  <c r="V21" i="15"/>
  <c r="V49" i="18"/>
  <c r="Y48" i="18"/>
  <c r="W50" i="18"/>
  <c r="V47" i="18"/>
  <c r="T21" i="18"/>
  <c r="Y21" i="18" s="1"/>
  <c r="T23" i="18"/>
  <c r="Y23" i="18" s="1"/>
  <c r="V17" i="18"/>
  <c r="Y14" i="18"/>
  <c r="Y24" i="16"/>
  <c r="V34" i="16"/>
  <c r="W20" i="15"/>
  <c r="X37" i="16"/>
  <c r="U15" i="15"/>
  <c r="W38" i="16"/>
  <c r="W26" i="16"/>
  <c r="U25" i="16"/>
  <c r="X21" i="16"/>
  <c r="V39" i="16"/>
  <c r="Y13" i="15"/>
  <c r="T13" i="16"/>
  <c r="W13" i="16" s="1"/>
  <c r="V28" i="16"/>
  <c r="X42" i="15"/>
  <c r="Y32" i="15"/>
  <c r="W26" i="15"/>
  <c r="X13" i="15"/>
  <c r="W32" i="17"/>
  <c r="Y30" i="17"/>
  <c r="W28" i="17"/>
  <c r="U26" i="17"/>
  <c r="Y33" i="17"/>
  <c r="Y32" i="17"/>
  <c r="V32" i="17"/>
  <c r="X11" i="17"/>
  <c r="O18" i="16"/>
  <c r="W15" i="15"/>
  <c r="R18" i="16"/>
  <c r="Y17" i="18"/>
  <c r="U36" i="18"/>
  <c r="V36" i="18"/>
  <c r="Y38" i="18"/>
  <c r="W36" i="18"/>
  <c r="V42" i="18"/>
  <c r="X38" i="18"/>
  <c r="U14" i="18"/>
  <c r="X40" i="18"/>
  <c r="X17" i="18"/>
  <c r="Y15" i="15"/>
  <c r="Y33" i="19"/>
  <c r="U30" i="17"/>
  <c r="U17" i="18"/>
  <c r="U11" i="17"/>
  <c r="V15" i="19"/>
  <c r="Y29" i="19"/>
  <c r="U40" i="18"/>
  <c r="Y42" i="15"/>
  <c r="T30" i="16"/>
  <c r="X30" i="16" s="1"/>
  <c r="Y40" i="18"/>
  <c r="Y36" i="18"/>
  <c r="Y47" i="18"/>
  <c r="U35" i="18"/>
  <c r="W40" i="18"/>
  <c r="W42" i="18"/>
  <c r="N12" i="19"/>
  <c r="T12" i="19" s="1"/>
  <c r="X12" i="19" s="1"/>
  <c r="X47" i="18"/>
  <c r="W47" i="18"/>
  <c r="U29" i="19"/>
  <c r="T34" i="19"/>
  <c r="X15" i="19"/>
  <c r="V29" i="19"/>
  <c r="X29" i="19"/>
  <c r="W15" i="19"/>
  <c r="Y30" i="19"/>
  <c r="T11" i="16"/>
  <c r="V13" i="15"/>
  <c r="Y11" i="19"/>
  <c r="X11" i="19"/>
  <c r="U28" i="16"/>
  <c r="W28" i="16"/>
  <c r="W17" i="18"/>
  <c r="X15" i="15"/>
  <c r="Y37" i="16"/>
  <c r="X30" i="17"/>
  <c r="O12" i="16"/>
  <c r="U16" i="19"/>
  <c r="W11" i="19"/>
  <c r="X28" i="16"/>
  <c r="N12" i="16"/>
  <c r="T12" i="16" s="1"/>
  <c r="V12" i="16" s="1"/>
  <c r="V15" i="15"/>
  <c r="U37" i="16"/>
  <c r="T22" i="16"/>
  <c r="X32" i="17"/>
  <c r="T15" i="16"/>
  <c r="Y35" i="18"/>
  <c r="W35" i="18"/>
  <c r="X26" i="15"/>
  <c r="W13" i="15"/>
  <c r="U13" i="15"/>
  <c r="X42" i="18"/>
  <c r="U32" i="17"/>
  <c r="X30" i="19"/>
  <c r="X35" i="18"/>
  <c r="Y42" i="18"/>
  <c r="X32" i="15"/>
  <c r="U38" i="18"/>
  <c r="W38" i="18"/>
  <c r="V11" i="17"/>
  <c r="Y11" i="17"/>
  <c r="X33" i="19"/>
  <c r="V30" i="17"/>
  <c r="W30" i="17"/>
  <c r="X14" i="18"/>
  <c r="V14" i="18"/>
  <c r="W37" i="16"/>
  <c r="W14" i="18"/>
  <c r="U13" i="18"/>
  <c r="W11" i="17"/>
  <c r="U25" i="18"/>
  <c r="V33" i="19"/>
  <c r="U15" i="19"/>
  <c r="W39" i="18"/>
  <c r="V37" i="16"/>
  <c r="T32" i="16"/>
  <c r="W32" i="16" s="1"/>
  <c r="U33" i="19"/>
  <c r="U39" i="18"/>
  <c r="T17" i="16"/>
  <c r="T12" i="18"/>
  <c r="Y26" i="15"/>
  <c r="V19" i="19"/>
  <c r="Y19" i="19"/>
  <c r="U26" i="15"/>
  <c r="X21" i="19"/>
  <c r="U19" i="19"/>
  <c r="V26" i="15"/>
  <c r="O12" i="17"/>
  <c r="T12" i="17" s="1"/>
  <c r="W12" i="17" s="1"/>
  <c r="X39" i="18"/>
  <c r="V39" i="18"/>
  <c r="Y62" i="18"/>
  <c r="X24" i="16"/>
  <c r="V42" i="15"/>
  <c r="U19" i="18"/>
  <c r="W42" i="15"/>
  <c r="Y19" i="18"/>
  <c r="W37" i="18"/>
  <c r="Y16" i="19"/>
  <c r="V13" i="18"/>
  <c r="X62" i="18"/>
  <c r="W43" i="15"/>
  <c r="U62" i="18"/>
  <c r="X19" i="18"/>
  <c r="U28" i="18"/>
  <c r="U28" i="17"/>
  <c r="V28" i="18"/>
  <c r="W62" i="18"/>
  <c r="W32" i="15"/>
  <c r="Y24" i="18"/>
  <c r="U34" i="16"/>
  <c r="V24" i="16"/>
  <c r="V19" i="18"/>
  <c r="W21" i="19"/>
  <c r="W24" i="18"/>
  <c r="V28" i="17"/>
  <c r="Y21" i="16"/>
  <c r="V50" i="18"/>
  <c r="U24" i="16"/>
  <c r="Y25" i="16"/>
  <c r="X24" i="18"/>
  <c r="X28" i="17"/>
  <c r="U32" i="15"/>
  <c r="V32" i="15"/>
  <c r="U48" i="18"/>
  <c r="U43" i="15"/>
  <c r="V24" i="18"/>
  <c r="Y28" i="17"/>
  <c r="Y58" i="18"/>
  <c r="Y39" i="16"/>
  <c r="U50" i="18"/>
  <c r="V25" i="18"/>
  <c r="X50" i="18"/>
  <c r="X25" i="18"/>
  <c r="U21" i="19"/>
  <c r="W16" i="19"/>
  <c r="X61" i="18"/>
  <c r="W61" i="18"/>
  <c r="V58" i="18"/>
  <c r="U58" i="18"/>
  <c r="U14" i="19"/>
  <c r="Z41" i="18"/>
  <c r="AA41" i="18" s="1"/>
  <c r="Y43" i="15"/>
  <c r="V43" i="15"/>
  <c r="W58" i="18"/>
  <c r="W14" i="19"/>
  <c r="W20" i="19"/>
  <c r="Z31" i="15"/>
  <c r="AA31" i="15" s="1"/>
  <c r="AE31" i="15" s="1"/>
  <c r="Z15" i="18"/>
  <c r="AA15" i="18" s="1"/>
  <c r="AE15" i="18" s="1"/>
  <c r="Z31" i="17"/>
  <c r="AA31" i="17" s="1"/>
  <c r="AE31" i="17" s="1"/>
  <c r="W13" i="18"/>
  <c r="V59" i="18"/>
  <c r="W25" i="18"/>
  <c r="Y14" i="19"/>
  <c r="V21" i="19"/>
  <c r="X20" i="19"/>
  <c r="X16" i="19"/>
  <c r="Y50" i="18"/>
  <c r="U27" i="18"/>
  <c r="X55" i="18"/>
  <c r="V61" i="18"/>
  <c r="W39" i="16"/>
  <c r="X39" i="16"/>
  <c r="V25" i="16"/>
  <c r="V21" i="16"/>
  <c r="U44" i="18"/>
  <c r="U20" i="19"/>
  <c r="X20" i="17"/>
  <c r="V20" i="19"/>
  <c r="W33" i="16"/>
  <c r="V20" i="15"/>
  <c r="X27" i="18"/>
  <c r="X28" i="15"/>
  <c r="W15" i="17"/>
  <c r="U29" i="16"/>
  <c r="V26" i="16"/>
  <c r="W34" i="16"/>
  <c r="Y20" i="15"/>
  <c r="X13" i="18"/>
  <c r="Y28" i="18"/>
  <c r="V33" i="16"/>
  <c r="Y26" i="16"/>
  <c r="U21" i="16"/>
  <c r="U39" i="16"/>
  <c r="Y29" i="16"/>
  <c r="Y15" i="17"/>
  <c r="V27" i="18"/>
  <c r="Y61" i="18"/>
  <c r="W24" i="16"/>
  <c r="W31" i="19"/>
  <c r="W17" i="17"/>
  <c r="U20" i="15"/>
  <c r="V18" i="17"/>
  <c r="W55" i="18"/>
  <c r="W26" i="17"/>
  <c r="V55" i="18"/>
  <c r="W25" i="16"/>
  <c r="X20" i="15"/>
  <c r="W28" i="18"/>
  <c r="X25" i="16"/>
  <c r="X26" i="16"/>
  <c r="W21" i="16"/>
  <c r="X34" i="16"/>
  <c r="U55" i="18"/>
  <c r="Y34" i="16"/>
  <c r="Y27" i="18"/>
  <c r="U61" i="18"/>
  <c r="T57" i="18"/>
  <c r="Y44" i="18"/>
  <c r="X37" i="18"/>
  <c r="Y37" i="18"/>
  <c r="U26" i="16"/>
  <c r="Z19" i="15"/>
  <c r="AA19" i="15" s="1"/>
  <c r="V29" i="16"/>
  <c r="W29" i="16"/>
  <c r="X24" i="19"/>
  <c r="U28" i="15"/>
  <c r="X48" i="18"/>
  <c r="V38" i="16"/>
  <c r="Y59" i="18"/>
  <c r="W59" i="18"/>
  <c r="X59" i="18"/>
  <c r="V15" i="17"/>
  <c r="V14" i="19"/>
  <c r="T56" i="18"/>
  <c r="X56" i="18" s="1"/>
  <c r="W44" i="18"/>
  <c r="X44" i="18"/>
  <c r="U37" i="18"/>
  <c r="W48" i="18"/>
  <c r="X18" i="17"/>
  <c r="Y31" i="19"/>
  <c r="Y20" i="17"/>
  <c r="V48" i="18"/>
  <c r="W27" i="15"/>
  <c r="U27" i="15"/>
  <c r="Y27" i="15"/>
  <c r="V27" i="15"/>
  <c r="U24" i="19"/>
  <c r="V28" i="15"/>
  <c r="U18" i="17"/>
  <c r="W18" i="17"/>
  <c r="Z19" i="17"/>
  <c r="AA19" i="17" s="1"/>
  <c r="Z14" i="15"/>
  <c r="AA14" i="15" s="1"/>
  <c r="AE14" i="15" s="1"/>
  <c r="Y18" i="17"/>
  <c r="U33" i="16"/>
  <c r="Y33" i="16"/>
  <c r="X29" i="16"/>
  <c r="V24" i="19"/>
  <c r="U31" i="19"/>
  <c r="X15" i="17"/>
  <c r="Y17" i="17"/>
  <c r="U17" i="17"/>
  <c r="X17" i="17"/>
  <c r="Y29" i="15"/>
  <c r="U29" i="15"/>
  <c r="V29" i="15"/>
  <c r="X29" i="15"/>
  <c r="W29" i="15"/>
  <c r="X33" i="16"/>
  <c r="X33" i="17"/>
  <c r="W24" i="19"/>
  <c r="U15" i="17"/>
  <c r="V17" i="17"/>
  <c r="U38" i="16"/>
  <c r="X38" i="16"/>
  <c r="U49" i="18"/>
  <c r="W28" i="15"/>
  <c r="Y28" i="15"/>
  <c r="V20" i="17"/>
  <c r="U20" i="17"/>
  <c r="X49" i="18"/>
  <c r="X26" i="17"/>
  <c r="W49" i="18"/>
  <c r="Y49" i="18"/>
  <c r="X31" i="19"/>
  <c r="V31" i="19"/>
  <c r="Y26" i="17"/>
  <c r="V26" i="17"/>
  <c r="X18" i="18"/>
  <c r="Y18" i="18"/>
  <c r="U18" i="18"/>
  <c r="V18" i="18"/>
  <c r="W18" i="18"/>
  <c r="W33" i="17"/>
  <c r="U33" i="17"/>
  <c r="V33" i="17"/>
  <c r="Z21" i="17"/>
  <c r="AD21" i="17" s="1"/>
  <c r="Y16" i="16"/>
  <c r="X16" i="16"/>
  <c r="U16" i="16"/>
  <c r="V16" i="16"/>
  <c r="W16" i="16"/>
  <c r="Z33" i="15"/>
  <c r="AA33" i="15" s="1"/>
  <c r="U27" i="16"/>
  <c r="W27" i="16"/>
  <c r="V27" i="16"/>
  <c r="X27" i="16"/>
  <c r="Y27" i="16"/>
  <c r="Z32" i="19"/>
  <c r="AA32" i="19" s="1"/>
  <c r="AE32" i="19" s="1"/>
  <c r="V22" i="18"/>
  <c r="X22" i="18"/>
  <c r="Y22" i="18"/>
  <c r="U22" i="18"/>
  <c r="W22" i="18"/>
  <c r="Z13" i="17"/>
  <c r="AA13" i="17" s="1"/>
  <c r="W17" i="19"/>
  <c r="V17" i="19"/>
  <c r="X17" i="19"/>
  <c r="Y17" i="19"/>
  <c r="U17" i="19"/>
  <c r="U43" i="18"/>
  <c r="X43" i="18"/>
  <c r="Y43" i="18"/>
  <c r="V43" i="18"/>
  <c r="W43" i="18"/>
  <c r="Z16" i="18"/>
  <c r="AA16" i="18" s="1"/>
  <c r="X23" i="16"/>
  <c r="U23" i="16"/>
  <c r="W23" i="16"/>
  <c r="V23" i="16"/>
  <c r="Y23" i="16"/>
  <c r="U44" i="15"/>
  <c r="Y44" i="15"/>
  <c r="W44" i="15"/>
  <c r="V44" i="15"/>
  <c r="X44" i="15"/>
  <c r="U23" i="19"/>
  <c r="W23" i="19"/>
  <c r="Y23" i="19"/>
  <c r="X23" i="19"/>
  <c r="V23" i="19"/>
  <c r="Z45" i="18"/>
  <c r="AA45" i="18" s="1"/>
  <c r="Z20" i="18"/>
  <c r="AA20" i="18" s="1"/>
  <c r="Z17" i="15"/>
  <c r="AA17" i="15" s="1"/>
  <c r="V19" i="16"/>
  <c r="X19" i="16"/>
  <c r="Y19" i="16"/>
  <c r="Z18" i="15"/>
  <c r="AA18" i="15" s="1"/>
  <c r="U19" i="16" l="1"/>
  <c r="Y40" i="16"/>
  <c r="AD29" i="16"/>
  <c r="Y36" i="16"/>
  <c r="Z16" i="15"/>
  <c r="AA16" i="15" s="1"/>
  <c r="AE16" i="15" s="1"/>
  <c r="Z14" i="17"/>
  <c r="AA14" i="17" s="1"/>
  <c r="AE14" i="17" s="1"/>
  <c r="AD13" i="19"/>
  <c r="V36" i="16"/>
  <c r="V34" i="18"/>
  <c r="U36" i="16"/>
  <c r="X36" i="16"/>
  <c r="W41" i="16"/>
  <c r="X42" i="16"/>
  <c r="U34" i="18"/>
  <c r="Z13" i="19"/>
  <c r="AA13" i="19" s="1"/>
  <c r="AE13" i="19" s="1"/>
  <c r="V42" i="16"/>
  <c r="Z34" i="15"/>
  <c r="AD34" i="15" s="1"/>
  <c r="V14" i="16"/>
  <c r="W14" i="16"/>
  <c r="Y14" i="16"/>
  <c r="Y42" i="16"/>
  <c r="U42" i="16"/>
  <c r="X14" i="16"/>
  <c r="X34" i="18"/>
  <c r="Y34" i="18"/>
  <c r="U35" i="16"/>
  <c r="U41" i="16"/>
  <c r="V41" i="16"/>
  <c r="Y41" i="16"/>
  <c r="Z29" i="17"/>
  <c r="AA29" i="17" s="1"/>
  <c r="AE29" i="17" s="1"/>
  <c r="X40" i="16"/>
  <c r="Z35" i="19"/>
  <c r="AA35" i="19" s="1"/>
  <c r="V40" i="16"/>
  <c r="W40" i="16"/>
  <c r="AD11" i="15"/>
  <c r="Z30" i="19"/>
  <c r="AA30" i="19" s="1"/>
  <c r="AE30" i="19" s="1"/>
  <c r="AD35" i="19"/>
  <c r="AD30" i="15"/>
  <c r="Z30" i="15"/>
  <c r="AA30" i="15" s="1"/>
  <c r="Z11" i="15"/>
  <c r="AA11" i="15" s="1"/>
  <c r="V41" i="15"/>
  <c r="X41" i="15"/>
  <c r="U41" i="15"/>
  <c r="W27" i="17"/>
  <c r="W41" i="15"/>
  <c r="Z20" i="16"/>
  <c r="AA20" i="16" s="1"/>
  <c r="AE20" i="16" s="1"/>
  <c r="V35" i="16"/>
  <c r="Y35" i="16"/>
  <c r="Z16" i="17"/>
  <c r="AA16" i="17" s="1"/>
  <c r="AE16" i="17" s="1"/>
  <c r="V11" i="18"/>
  <c r="Z29" i="18"/>
  <c r="AD29" i="18" s="1"/>
  <c r="W35" i="16"/>
  <c r="AD40" i="15"/>
  <c r="Z40" i="15"/>
  <c r="AA40" i="15" s="1"/>
  <c r="Z18" i="19"/>
  <c r="AA18" i="19" s="1"/>
  <c r="AD18" i="19"/>
  <c r="Y12" i="15"/>
  <c r="U27" i="17"/>
  <c r="X31" i="16"/>
  <c r="X12" i="15"/>
  <c r="V27" i="17"/>
  <c r="Z45" i="15"/>
  <c r="AD45" i="15" s="1"/>
  <c r="Z26" i="18"/>
  <c r="AD26" i="18" s="1"/>
  <c r="Y27" i="17"/>
  <c r="W31" i="16"/>
  <c r="W12" i="15"/>
  <c r="V12" i="15"/>
  <c r="AD33" i="19"/>
  <c r="X21" i="18"/>
  <c r="AD22" i="19"/>
  <c r="Y31" i="16"/>
  <c r="U31" i="16"/>
  <c r="T18" i="16"/>
  <c r="U18" i="16" s="1"/>
  <c r="X11" i="18"/>
  <c r="U11" i="18"/>
  <c r="AD31" i="19"/>
  <c r="AD29" i="19"/>
  <c r="AD28" i="17"/>
  <c r="AD19" i="18"/>
  <c r="AD11" i="19"/>
  <c r="AD15" i="19"/>
  <c r="AD22" i="18"/>
  <c r="AD13" i="15"/>
  <c r="AD36" i="18"/>
  <c r="AD17" i="18"/>
  <c r="AD15" i="15"/>
  <c r="AD42" i="15"/>
  <c r="Z22" i="19"/>
  <c r="AA22" i="19" s="1"/>
  <c r="AD33" i="16"/>
  <c r="AD26" i="16"/>
  <c r="U60" i="18"/>
  <c r="V60" i="18"/>
  <c r="X60" i="18"/>
  <c r="AD28" i="16"/>
  <c r="AD28" i="15"/>
  <c r="AD20" i="19"/>
  <c r="AD24" i="16"/>
  <c r="AD19" i="19"/>
  <c r="AD38" i="18"/>
  <c r="AD14" i="18"/>
  <c r="AD32" i="17"/>
  <c r="AD25" i="16"/>
  <c r="AD40" i="18"/>
  <c r="AD26" i="17"/>
  <c r="AD34" i="16"/>
  <c r="AD44" i="18"/>
  <c r="AD26" i="15"/>
  <c r="AD30" i="17"/>
  <c r="AD19" i="16"/>
  <c r="AD43" i="18"/>
  <c r="AD27" i="16"/>
  <c r="AD18" i="18"/>
  <c r="AD15" i="17"/>
  <c r="AD18" i="17"/>
  <c r="AD55" i="18"/>
  <c r="AD21" i="16"/>
  <c r="AD32" i="15"/>
  <c r="AD42" i="18"/>
  <c r="AD20" i="17"/>
  <c r="X57" i="18"/>
  <c r="AD17" i="19"/>
  <c r="Y46" i="18"/>
  <c r="U46" i="18"/>
  <c r="X13" i="16"/>
  <c r="U13" i="16"/>
  <c r="W21" i="18"/>
  <c r="W60" i="18"/>
  <c r="W11" i="18"/>
  <c r="W23" i="18"/>
  <c r="V23" i="18"/>
  <c r="AD16" i="19"/>
  <c r="X46" i="18"/>
  <c r="AD44" i="15"/>
  <c r="AD24" i="18"/>
  <c r="V13" i="16"/>
  <c r="U21" i="18"/>
  <c r="AD21" i="19"/>
  <c r="X23" i="18"/>
  <c r="U23" i="18"/>
  <c r="U34" i="19"/>
  <c r="V46" i="18"/>
  <c r="AD59" i="18"/>
  <c r="Z21" i="15"/>
  <c r="AD21" i="15" s="1"/>
  <c r="AD20" i="15"/>
  <c r="AD17" i="17"/>
  <c r="AD11" i="17"/>
  <c r="V34" i="19"/>
  <c r="V21" i="18"/>
  <c r="W12" i="18"/>
  <c r="U17" i="16"/>
  <c r="Y15" i="16"/>
  <c r="V22" i="16"/>
  <c r="Y11" i="16"/>
  <c r="Y13" i="16"/>
  <c r="Z32" i="17"/>
  <c r="AA32" i="17" s="1"/>
  <c r="Z42" i="18"/>
  <c r="AA42" i="18" s="1"/>
  <c r="X34" i="19"/>
  <c r="Y32" i="16"/>
  <c r="Z47" i="18"/>
  <c r="AD47" i="18" s="1"/>
  <c r="Y34" i="19"/>
  <c r="W34" i="19"/>
  <c r="X12" i="18"/>
  <c r="X22" i="16"/>
  <c r="Z11" i="19"/>
  <c r="AA11" i="19" s="1"/>
  <c r="Z40" i="18"/>
  <c r="AA40" i="18" s="1"/>
  <c r="Z17" i="18"/>
  <c r="AA17" i="18" s="1"/>
  <c r="Z15" i="19"/>
  <c r="AA15" i="19" s="1"/>
  <c r="Z36" i="18"/>
  <c r="AA36" i="18" s="1"/>
  <c r="U22" i="16"/>
  <c r="Z28" i="16"/>
  <c r="AA28" i="16" s="1"/>
  <c r="V12" i="18"/>
  <c r="W22" i="16"/>
  <c r="AE19" i="15"/>
  <c r="AK19" i="15" s="1"/>
  <c r="Y22" i="16"/>
  <c r="W11" i="16"/>
  <c r="Z37" i="16"/>
  <c r="AD37" i="16" s="1"/>
  <c r="Z29" i="19"/>
  <c r="AA29" i="19" s="1"/>
  <c r="Y30" i="16"/>
  <c r="Y17" i="16"/>
  <c r="X11" i="16"/>
  <c r="U30" i="16"/>
  <c r="X15" i="16"/>
  <c r="V11" i="16"/>
  <c r="W30" i="16"/>
  <c r="V30" i="16"/>
  <c r="W15" i="16"/>
  <c r="U11" i="16"/>
  <c r="Z11" i="17"/>
  <c r="AA11" i="17" s="1"/>
  <c r="Z15" i="15"/>
  <c r="AA15" i="15" s="1"/>
  <c r="Z14" i="18"/>
  <c r="AA14" i="18" s="1"/>
  <c r="Z26" i="15"/>
  <c r="AA26" i="15" s="1"/>
  <c r="Z33" i="19"/>
  <c r="AA33" i="19" s="1"/>
  <c r="Z35" i="18"/>
  <c r="AA35" i="18" s="1"/>
  <c r="AE35" i="18" s="1"/>
  <c r="Z38" i="18"/>
  <c r="AA38" i="18" s="1"/>
  <c r="V15" i="16"/>
  <c r="V32" i="16"/>
  <c r="X32" i="16"/>
  <c r="Z13" i="15"/>
  <c r="AA13" i="15" s="1"/>
  <c r="U12" i="18"/>
  <c r="U15" i="16"/>
  <c r="Z39" i="18"/>
  <c r="AA39" i="18" s="1"/>
  <c r="AE39" i="18" s="1"/>
  <c r="U32" i="16"/>
  <c r="Z30" i="17"/>
  <c r="AA30" i="17" s="1"/>
  <c r="Y12" i="18"/>
  <c r="Z19" i="19"/>
  <c r="AA19" i="19" s="1"/>
  <c r="X17" i="16"/>
  <c r="V17" i="16"/>
  <c r="W17" i="16"/>
  <c r="W12" i="16"/>
  <c r="U56" i="18"/>
  <c r="Z42" i="15"/>
  <c r="AA42" i="15" s="1"/>
  <c r="X12" i="16"/>
  <c r="U12" i="16"/>
  <c r="Z58" i="18"/>
  <c r="AA58" i="18" s="1"/>
  <c r="AE58" i="18" s="1"/>
  <c r="Z43" i="15"/>
  <c r="AA43" i="15" s="1"/>
  <c r="AE43" i="15" s="1"/>
  <c r="Z32" i="15"/>
  <c r="AA32" i="15" s="1"/>
  <c r="Z19" i="18"/>
  <c r="AA19" i="18" s="1"/>
  <c r="Y12" i="19"/>
  <c r="Y12" i="16"/>
  <c r="Z13" i="18"/>
  <c r="AA13" i="18" s="1"/>
  <c r="AE13" i="18" s="1"/>
  <c r="Z62" i="18"/>
  <c r="Z28" i="17"/>
  <c r="AA28" i="17" s="1"/>
  <c r="Z24" i="18"/>
  <c r="AA24" i="18" s="1"/>
  <c r="Z61" i="18"/>
  <c r="Z55" i="18"/>
  <c r="AA55" i="18" s="1"/>
  <c r="Z24" i="16"/>
  <c r="AA24" i="16" s="1"/>
  <c r="Z14" i="19"/>
  <c r="AA14" i="19" s="1"/>
  <c r="AE14" i="19" s="1"/>
  <c r="Z16" i="19"/>
  <c r="AA16" i="19" s="1"/>
  <c r="AE41" i="18"/>
  <c r="Z50" i="18"/>
  <c r="AD50" i="18" s="1"/>
  <c r="Z28" i="18"/>
  <c r="AD28" i="18" s="1"/>
  <c r="Z25" i="18"/>
  <c r="Z21" i="16"/>
  <c r="AA21" i="16" s="1"/>
  <c r="Z26" i="16"/>
  <c r="AA26" i="16" s="1"/>
  <c r="Z21" i="19"/>
  <c r="AA21" i="19" s="1"/>
  <c r="Z20" i="15"/>
  <c r="AA20" i="15" s="1"/>
  <c r="V12" i="19"/>
  <c r="Z59" i="18"/>
  <c r="AA59" i="18" s="1"/>
  <c r="U57" i="18"/>
  <c r="Z27" i="18"/>
  <c r="Z39" i="16"/>
  <c r="AD39" i="16" s="1"/>
  <c r="Z34" i="16"/>
  <c r="AA34" i="16" s="1"/>
  <c r="Z20" i="19"/>
  <c r="AA20" i="19" s="1"/>
  <c r="Z44" i="18"/>
  <c r="AA44" i="18" s="1"/>
  <c r="Z25" i="16"/>
  <c r="AA25" i="16" s="1"/>
  <c r="W12" i="19"/>
  <c r="W57" i="18"/>
  <c r="Y57" i="18"/>
  <c r="U12" i="19"/>
  <c r="V56" i="18"/>
  <c r="Z27" i="15"/>
  <c r="AA27" i="15" s="1"/>
  <c r="AE27" i="15" s="1"/>
  <c r="V57" i="18"/>
  <c r="W56" i="18"/>
  <c r="Y56" i="18"/>
  <c r="Z37" i="18"/>
  <c r="AA37" i="18" s="1"/>
  <c r="AE37" i="18" s="1"/>
  <c r="Z48" i="18"/>
  <c r="AD48" i="18" s="1"/>
  <c r="Z18" i="17"/>
  <c r="AA18" i="17" s="1"/>
  <c r="AE18" i="15"/>
  <c r="Z28" i="15"/>
  <c r="AA28" i="15" s="1"/>
  <c r="Z24" i="19"/>
  <c r="AD24" i="19" s="1"/>
  <c r="AE19" i="17"/>
  <c r="AJ19" i="17" s="1"/>
  <c r="Z17" i="17"/>
  <c r="AA17" i="17" s="1"/>
  <c r="Z15" i="17"/>
  <c r="AA15" i="17" s="1"/>
  <c r="Z38" i="16"/>
  <c r="AD38" i="16" s="1"/>
  <c r="Z29" i="16"/>
  <c r="AA29" i="16" s="1"/>
  <c r="Z29" i="15"/>
  <c r="AA29" i="15" s="1"/>
  <c r="AE29" i="15" s="1"/>
  <c r="Z33" i="16"/>
  <c r="AA33" i="16" s="1"/>
  <c r="Z49" i="18"/>
  <c r="AD49" i="18" s="1"/>
  <c r="AE20" i="18"/>
  <c r="Z31" i="19"/>
  <c r="AA31" i="19" s="1"/>
  <c r="Z20" i="17"/>
  <c r="AA20" i="17" s="1"/>
  <c r="AE16" i="18"/>
  <c r="Z18" i="18"/>
  <c r="AA18" i="18" s="1"/>
  <c r="Z26" i="17"/>
  <c r="AA26" i="17" s="1"/>
  <c r="Z33" i="17"/>
  <c r="AD33" i="17" s="1"/>
  <c r="Z23" i="16"/>
  <c r="AA23" i="16" s="1"/>
  <c r="AE23" i="16" s="1"/>
  <c r="V12" i="17"/>
  <c r="X12" i="17"/>
  <c r="U12" i="17"/>
  <c r="Y12" i="17"/>
  <c r="AA21" i="17"/>
  <c r="AE21" i="17" s="1"/>
  <c r="AJ21" i="17" s="1"/>
  <c r="AE13" i="17"/>
  <c r="AE17" i="15"/>
  <c r="AE33" i="15"/>
  <c r="Z19" i="16"/>
  <c r="AA19" i="16" s="1"/>
  <c r="Z43" i="18"/>
  <c r="AA43" i="18" s="1"/>
  <c r="Z17" i="19"/>
  <c r="AA17" i="19" s="1"/>
  <c r="AA34" i="15"/>
  <c r="Z22" i="18"/>
  <c r="AA22" i="18" s="1"/>
  <c r="AE45" i="18"/>
  <c r="Z23" i="19"/>
  <c r="AD23" i="19" s="1"/>
  <c r="Z44" i="15"/>
  <c r="AA44" i="15" s="1"/>
  <c r="Z27" i="16"/>
  <c r="AA27" i="16" s="1"/>
  <c r="Z16" i="16"/>
  <c r="AA16" i="16" s="1"/>
  <c r="AE16" i="16" s="1"/>
  <c r="Z36" i="16" l="1"/>
  <c r="AD36" i="16" s="1"/>
  <c r="AJ13" i="17"/>
  <c r="Z14" i="16"/>
  <c r="AA14" i="16" s="1"/>
  <c r="AE14" i="16" s="1"/>
  <c r="AD34" i="18"/>
  <c r="Z42" i="16"/>
  <c r="AD42" i="16" s="1"/>
  <c r="V18" i="16"/>
  <c r="Z34" i="18"/>
  <c r="AA34" i="18" s="1"/>
  <c r="X18" i="16"/>
  <c r="Z41" i="16"/>
  <c r="AD41" i="16" s="1"/>
  <c r="AE35" i="19"/>
  <c r="AJ35" i="19" s="1"/>
  <c r="W18" i="16"/>
  <c r="Z40" i="16"/>
  <c r="AD40" i="16" s="1"/>
  <c r="AE30" i="15"/>
  <c r="AK30" i="15" s="1"/>
  <c r="AE11" i="15"/>
  <c r="Z41" i="15"/>
  <c r="AA41" i="15" s="1"/>
  <c r="AE41" i="15" s="1"/>
  <c r="AE40" i="15"/>
  <c r="AA29" i="18"/>
  <c r="AE29" i="18" s="1"/>
  <c r="Z35" i="16"/>
  <c r="AD35" i="16" s="1"/>
  <c r="AE18" i="19"/>
  <c r="AJ18" i="19" s="1"/>
  <c r="AA45" i="15"/>
  <c r="AE45" i="15" s="1"/>
  <c r="AK45" i="15" s="1"/>
  <c r="Y18" i="16"/>
  <c r="AE28" i="16"/>
  <c r="AK28" i="16" s="1"/>
  <c r="Z27" i="17"/>
  <c r="AA27" i="17" s="1"/>
  <c r="AE27" i="17" s="1"/>
  <c r="AA26" i="18"/>
  <c r="AE26" i="18" s="1"/>
  <c r="AK26" i="18" s="1"/>
  <c r="Z12" i="15"/>
  <c r="AA12" i="15" s="1"/>
  <c r="AE12" i="15" s="1"/>
  <c r="Z31" i="16"/>
  <c r="AA31" i="16" s="1"/>
  <c r="AE22" i="19"/>
  <c r="AJ22" i="19" s="1"/>
  <c r="Z11" i="18"/>
  <c r="AA11" i="18" s="1"/>
  <c r="AD11" i="18"/>
  <c r="AE36" i="18"/>
  <c r="AK36" i="18" s="1"/>
  <c r="AE11" i="19"/>
  <c r="Z13" i="16"/>
  <c r="AA13" i="16" s="1"/>
  <c r="AD60" i="18"/>
  <c r="AD15" i="16"/>
  <c r="Z23" i="18"/>
  <c r="AA23" i="18" s="1"/>
  <c r="AD13" i="16"/>
  <c r="AE13" i="16" s="1"/>
  <c r="AA21" i="15"/>
  <c r="AE21" i="15" s="1"/>
  <c r="AD57" i="18"/>
  <c r="AE32" i="17"/>
  <c r="AJ32" i="17" s="1"/>
  <c r="AE21" i="16"/>
  <c r="AD11" i="16"/>
  <c r="Z21" i="18"/>
  <c r="AA21" i="18" s="1"/>
  <c r="Z46" i="18"/>
  <c r="AA46" i="18" s="1"/>
  <c r="AD22" i="16"/>
  <c r="AD34" i="19"/>
  <c r="AD12" i="18"/>
  <c r="AD17" i="16"/>
  <c r="AD46" i="18"/>
  <c r="AA25" i="18"/>
  <c r="AD25" i="18"/>
  <c r="AA27" i="18"/>
  <c r="AD27" i="18"/>
  <c r="Z60" i="18"/>
  <c r="AA60" i="18" s="1"/>
  <c r="AD21" i="18"/>
  <c r="AA62" i="18"/>
  <c r="AD62" i="18"/>
  <c r="AD23" i="18"/>
  <c r="AA61" i="18"/>
  <c r="AD61" i="18"/>
  <c r="AA24" i="19"/>
  <c r="AA49" i="18"/>
  <c r="AE49" i="18" s="1"/>
  <c r="AA50" i="18"/>
  <c r="AE50" i="18" s="1"/>
  <c r="AA47" i="18"/>
  <c r="AE47" i="18" s="1"/>
  <c r="AK47" i="18" s="1"/>
  <c r="AE19" i="18"/>
  <c r="AK19" i="18" s="1"/>
  <c r="AE42" i="18"/>
  <c r="AK42" i="18" s="1"/>
  <c r="AA38" i="16"/>
  <c r="AE38" i="16" s="1"/>
  <c r="AA39" i="16"/>
  <c r="AA37" i="16"/>
  <c r="AE37" i="16" s="1"/>
  <c r="AK37" i="16" s="1"/>
  <c r="AE13" i="15"/>
  <c r="AK13" i="15" s="1"/>
  <c r="AE15" i="15"/>
  <c r="AK15" i="15" s="1"/>
  <c r="AA33" i="17"/>
  <c r="Z34" i="19"/>
  <c r="AA34" i="19" s="1"/>
  <c r="AE40" i="18"/>
  <c r="AK40" i="18" s="1"/>
  <c r="AE33" i="19"/>
  <c r="AJ33" i="19" s="1"/>
  <c r="Z11" i="16"/>
  <c r="AA11" i="16" s="1"/>
  <c r="AE29" i="19"/>
  <c r="AJ29" i="19" s="1"/>
  <c r="AE17" i="18"/>
  <c r="AK17" i="18" s="1"/>
  <c r="AE26" i="15"/>
  <c r="AK26" i="15" s="1"/>
  <c r="Z12" i="18"/>
  <c r="AA12" i="18" s="1"/>
  <c r="Z22" i="16"/>
  <c r="AA22" i="16" s="1"/>
  <c r="AE15" i="19"/>
  <c r="AJ15" i="19" s="1"/>
  <c r="AE38" i="18"/>
  <c r="AK38" i="18" s="1"/>
  <c r="Z15" i="16"/>
  <c r="AA15" i="16" s="1"/>
  <c r="AE14" i="18"/>
  <c r="AK14" i="18" s="1"/>
  <c r="AE19" i="19"/>
  <c r="AJ19" i="19" s="1"/>
  <c r="Z30" i="16"/>
  <c r="AA30" i="16" s="1"/>
  <c r="AE11" i="17"/>
  <c r="Z12" i="16"/>
  <c r="AA12" i="16" s="1"/>
  <c r="AE12" i="16" s="1"/>
  <c r="AE42" i="15"/>
  <c r="AK42" i="15" s="1"/>
  <c r="AE30" i="17"/>
  <c r="AJ30" i="17" s="1"/>
  <c r="Z32" i="16"/>
  <c r="AA32" i="16" s="1"/>
  <c r="Z17" i="16"/>
  <c r="AA17" i="16" s="1"/>
  <c r="AA28" i="18"/>
  <c r="AE28" i="18" s="1"/>
  <c r="AK45" i="18"/>
  <c r="AK17" i="15"/>
  <c r="AK16" i="18"/>
  <c r="AK18" i="15"/>
  <c r="AK41" i="18"/>
  <c r="AK33" i="15"/>
  <c r="AK20" i="18"/>
  <c r="AJ13" i="19"/>
  <c r="AE32" i="15"/>
  <c r="AE16" i="19"/>
  <c r="AE24" i="18"/>
  <c r="Z56" i="18"/>
  <c r="AA56" i="18" s="1"/>
  <c r="AE56" i="18" s="1"/>
  <c r="AE28" i="17"/>
  <c r="AJ28" i="17" s="1"/>
  <c r="AE24" i="16"/>
  <c r="AE55" i="18"/>
  <c r="AE26" i="16"/>
  <c r="AE20" i="15"/>
  <c r="AE25" i="16"/>
  <c r="AE21" i="19"/>
  <c r="Z12" i="19"/>
  <c r="AA12" i="19" s="1"/>
  <c r="AE12" i="19" s="1"/>
  <c r="AE34" i="16"/>
  <c r="AE20" i="19"/>
  <c r="AE18" i="17"/>
  <c r="AJ18" i="17" s="1"/>
  <c r="AE44" i="18"/>
  <c r="AE59" i="18"/>
  <c r="AE20" i="17"/>
  <c r="AJ20" i="17" s="1"/>
  <c r="AE29" i="16"/>
  <c r="AE31" i="19"/>
  <c r="AA36" i="16"/>
  <c r="AE28" i="15"/>
  <c r="AE15" i="17"/>
  <c r="AJ15" i="17" s="1"/>
  <c r="AE17" i="17"/>
  <c r="AJ17" i="17" s="1"/>
  <c r="AA48" i="18"/>
  <c r="AE48" i="18" s="1"/>
  <c r="Z57" i="18"/>
  <c r="AA57" i="18" s="1"/>
  <c r="AE33" i="16"/>
  <c r="AE27" i="16"/>
  <c r="AE26" i="17"/>
  <c r="AE43" i="18"/>
  <c r="AE18" i="18"/>
  <c r="Z12" i="17"/>
  <c r="AA12" i="17" s="1"/>
  <c r="AE12" i="17" s="1"/>
  <c r="AA23" i="19"/>
  <c r="AE34" i="15"/>
  <c r="AE17" i="19"/>
  <c r="AE19" i="16"/>
  <c r="AE44" i="15"/>
  <c r="AE22" i="18"/>
  <c r="AA42" i="16" l="1"/>
  <c r="AE42" i="16" s="1"/>
  <c r="AK42" i="16" s="1"/>
  <c r="AE36" i="16"/>
  <c r="AK36" i="16" s="1"/>
  <c r="AA40" i="16"/>
  <c r="AE40" i="16" s="1"/>
  <c r="AK40" i="16" s="1"/>
  <c r="AE34" i="18"/>
  <c r="AK34" i="18" s="1"/>
  <c r="Z18" i="16"/>
  <c r="AA18" i="16" s="1"/>
  <c r="AE18" i="16" s="1"/>
  <c r="AA41" i="16"/>
  <c r="AE41" i="16" s="1"/>
  <c r="AK41" i="16" s="1"/>
  <c r="AK11" i="15"/>
  <c r="AK40" i="15"/>
  <c r="AA35" i="16"/>
  <c r="AE35" i="16" s="1"/>
  <c r="AK35" i="16" s="1"/>
  <c r="AJ26" i="17"/>
  <c r="AJ11" i="19"/>
  <c r="AE31" i="16"/>
  <c r="AK31" i="16" s="1"/>
  <c r="AE11" i="18"/>
  <c r="AK11" i="18" s="1"/>
  <c r="AE21" i="18"/>
  <c r="AK21" i="18" s="1"/>
  <c r="AE25" i="18"/>
  <c r="AK25" i="18" s="1"/>
  <c r="AE27" i="18"/>
  <c r="AK27" i="18" s="1"/>
  <c r="AE60" i="18"/>
  <c r="AK60" i="18" s="1"/>
  <c r="AE23" i="18"/>
  <c r="AK23" i="18" s="1"/>
  <c r="AE22" i="16"/>
  <c r="AK22" i="16" s="1"/>
  <c r="AE46" i="18"/>
  <c r="AK46" i="18" s="1"/>
  <c r="AE61" i="18"/>
  <c r="AK61" i="18" s="1"/>
  <c r="AE62" i="18"/>
  <c r="AK62" i="18" s="1"/>
  <c r="AE34" i="19"/>
  <c r="AJ34" i="19" s="1"/>
  <c r="AE24" i="19"/>
  <c r="AJ24" i="19" s="1"/>
  <c r="AE39" i="16"/>
  <c r="AK39" i="16" s="1"/>
  <c r="AE33" i="17"/>
  <c r="AJ33" i="17" s="1"/>
  <c r="AE11" i="16"/>
  <c r="AK11" i="16" s="1"/>
  <c r="AE12" i="18"/>
  <c r="AK12" i="18" s="1"/>
  <c r="AE30" i="16"/>
  <c r="AK30" i="16" s="1"/>
  <c r="AJ11" i="17"/>
  <c r="AE15" i="16"/>
  <c r="AK15" i="16" s="1"/>
  <c r="AE32" i="16"/>
  <c r="AK32" i="16" s="1"/>
  <c r="AE17" i="16"/>
  <c r="AJ31" i="19"/>
  <c r="AK28" i="18"/>
  <c r="AJ17" i="19"/>
  <c r="AK29" i="18"/>
  <c r="AK21" i="15"/>
  <c r="AK48" i="18"/>
  <c r="AK29" i="16"/>
  <c r="AK44" i="18"/>
  <c r="AK50" i="18"/>
  <c r="AK24" i="16"/>
  <c r="AK32" i="15"/>
  <c r="AK22" i="18"/>
  <c r="AK34" i="15"/>
  <c r="AK27" i="16"/>
  <c r="AK38" i="16"/>
  <c r="AJ21" i="19"/>
  <c r="AK20" i="15"/>
  <c r="AK19" i="16"/>
  <c r="AK18" i="18"/>
  <c r="AK43" i="18"/>
  <c r="AK28" i="15"/>
  <c r="AJ20" i="19"/>
  <c r="AK34" i="16"/>
  <c r="AK55" i="18"/>
  <c r="AJ16" i="19"/>
  <c r="AK13" i="16"/>
  <c r="AK24" i="18"/>
  <c r="AK44" i="15"/>
  <c r="AK49" i="18"/>
  <c r="AK33" i="16"/>
  <c r="AK59" i="18"/>
  <c r="AK21" i="16"/>
  <c r="AK25" i="16"/>
  <c r="AK26" i="16"/>
  <c r="AE57" i="18"/>
  <c r="AE23" i="19"/>
  <c r="AK17" i="16" l="1"/>
  <c r="AJ23" i="19"/>
  <c r="AK57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</author>
  </authors>
  <commentList>
    <comment ref="H1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ANTES 810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ANTES 810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ANTES 810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</author>
  </authors>
  <commentList>
    <comment ref="C9" authorId="0" shapeId="0" xr:uid="{00000000-0006-0000-0600-000001000000}">
      <text>
        <r>
          <rPr>
            <b/>
            <sz val="12"/>
            <color indexed="81"/>
            <rFont val="Helvetica"/>
          </rPr>
          <t>para los 1135 o más puntos y proprcional para puntaje menor</t>
        </r>
      </text>
    </comment>
    <comment ref="D9" authorId="0" shapeId="0" xr:uid="{00000000-0006-0000-0600-000002000000}">
      <text>
        <r>
          <rPr>
            <b/>
            <sz val="12"/>
            <color indexed="81"/>
            <rFont val="Helvetica"/>
          </rPr>
          <t>para los 2070 o más puntos y proprcional para puntaje menor</t>
        </r>
      </text>
    </comment>
  </commentList>
</comments>
</file>

<file path=xl/sharedStrings.xml><?xml version="1.0" encoding="utf-8"?>
<sst xmlns="http://schemas.openxmlformats.org/spreadsheetml/2006/main" count="696" uniqueCount="204">
  <si>
    <t>Denominación del cargo</t>
  </si>
  <si>
    <t>Códigos</t>
  </si>
  <si>
    <t>Director de Jardín de Infantes Independeniente</t>
  </si>
  <si>
    <t>Vicedirector</t>
  </si>
  <si>
    <t>Maestro Secretario</t>
  </si>
  <si>
    <t>Director</t>
  </si>
  <si>
    <t>Maestro Bibliotecario</t>
  </si>
  <si>
    <t>Maestro de Grado</t>
  </si>
  <si>
    <t xml:space="preserve">Hora cátedra Maestro Especial </t>
  </si>
  <si>
    <t>Hora cátedra Maestro Especial</t>
  </si>
  <si>
    <t>Maestro de Grado o Ciclo</t>
  </si>
  <si>
    <t>Maestro Reeducador Vocal</t>
  </si>
  <si>
    <t>Maestro Reeducador Acústico</t>
  </si>
  <si>
    <t>Maestro Asistente Social</t>
  </si>
  <si>
    <t>Maestro Psicólogo</t>
  </si>
  <si>
    <t>Preceptor</t>
  </si>
  <si>
    <t>Ayudante Clases/Trabajos Prácticos</t>
  </si>
  <si>
    <t>Hora Maestro de Grado o Grupo</t>
  </si>
  <si>
    <t>Hora Maestro Reeducador Vocal</t>
  </si>
  <si>
    <t>Hora Maestro Psicólogo</t>
  </si>
  <si>
    <t>Hora Maestro Actividades Prácticas</t>
  </si>
  <si>
    <t>Maestro Gabinetista Psicotécnico</t>
  </si>
  <si>
    <t>Hora Maestro Asistente Social</t>
  </si>
  <si>
    <t>Rector</t>
  </si>
  <si>
    <t>Director de Estudios</t>
  </si>
  <si>
    <t>Secretario</t>
  </si>
  <si>
    <t>Prosecretario</t>
  </si>
  <si>
    <t>Bibliotecario</t>
  </si>
  <si>
    <t>Jefe de Preceptores</t>
  </si>
  <si>
    <t>Sub-Jefe de Preceptores</t>
  </si>
  <si>
    <t>Ayudante de Clases Prácticas</t>
  </si>
  <si>
    <t>Hora cátedra</t>
  </si>
  <si>
    <t>Regente</t>
  </si>
  <si>
    <t>Jefe de Laboratorio</t>
  </si>
  <si>
    <t>Maestro de Enseñanza Práctica</t>
  </si>
  <si>
    <t>Maestro de Enseñanza Práctica Jefe de Sección</t>
  </si>
  <si>
    <t>Maestro Ayudante de Enseñanza Práctica</t>
  </si>
  <si>
    <t>Ayudante Técnico de Trabajos Prácticos</t>
  </si>
  <si>
    <t>Vicerrector o Director de Estudios</t>
  </si>
  <si>
    <t>Profesor Jefe de Trabajos Prácticos</t>
  </si>
  <si>
    <t>Profesor Asistente de Trabajos Prácticos</t>
  </si>
  <si>
    <t>Pro-secretario</t>
  </si>
  <si>
    <t>Bedel</t>
  </si>
  <si>
    <t>Hora Cátedra</t>
  </si>
  <si>
    <t>Ayudante de Trabajos Prácticos</t>
  </si>
  <si>
    <t>Director Jornada Completa</t>
  </si>
  <si>
    <t xml:space="preserve">Vicedirector Jornada Completa </t>
  </si>
  <si>
    <t>Director Jornada Simple</t>
  </si>
  <si>
    <t>Vicedirector Jornada Simple</t>
  </si>
  <si>
    <t>(*)</t>
  </si>
  <si>
    <t>Hora Maestro Reeducador Acústico</t>
  </si>
  <si>
    <t>Jefe General Enseñanza Práctica</t>
  </si>
  <si>
    <t xml:space="preserve">Maestro Celador </t>
  </si>
  <si>
    <t>Profesor de Enfermería (Instructor 36 horas cátedra)</t>
  </si>
  <si>
    <t>Maestro Jardinera/Sección</t>
  </si>
  <si>
    <t>Maestro de Grado o Grupo Escolar (*)</t>
  </si>
  <si>
    <t>Profesor Tiempo Parcial 3 (18 horas)</t>
  </si>
  <si>
    <t>Profesor Tiempo Parcial 4 (12 horas)</t>
  </si>
  <si>
    <t>Hora Maestro de Materias Especiales (hora cátedra)</t>
  </si>
  <si>
    <t>Retenciones por aportes personales</t>
  </si>
  <si>
    <t>Incluye Maestro Integrador (R.M. Nº 278/92)</t>
  </si>
  <si>
    <t>Obra Social 3%</t>
  </si>
  <si>
    <t>INSSJP - Ley 19032 3%</t>
  </si>
  <si>
    <t>Ley 24.016 Dec. 137/05 2%</t>
  </si>
  <si>
    <t>Caja Compl. 4,5%</t>
  </si>
  <si>
    <t>Psicopedagogo 18 horas</t>
  </si>
  <si>
    <t>Ayudante de Orientación 16 horas</t>
  </si>
  <si>
    <t>Director de Estudios (12 horas mas de proyecto XIII)</t>
  </si>
  <si>
    <t xml:space="preserve">Total Aportes </t>
  </si>
  <si>
    <t>Total Haberes  Remunerat.</t>
  </si>
  <si>
    <t>Maestro de Apoyo</t>
  </si>
  <si>
    <t>Maestro de Grupo Escolar Auxiliar</t>
  </si>
  <si>
    <t xml:space="preserve">Preceptor/Maestro Celador </t>
  </si>
  <si>
    <t>Maestro Terapista Ocupacional</t>
  </si>
  <si>
    <t>Maestro de Actividades Prácticas</t>
  </si>
  <si>
    <t>Ayudante de Depto. de Orientación</t>
  </si>
  <si>
    <t>Psicopedagogo</t>
  </si>
  <si>
    <t>AÑOS</t>
  </si>
  <si>
    <t>Maestro Secretario  EE JC</t>
  </si>
  <si>
    <t>TOTAL DE INDICES</t>
  </si>
  <si>
    <t>Maestro de Apoyo para la integración</t>
  </si>
  <si>
    <t>Interprete de Lengua de Señas</t>
  </si>
  <si>
    <t xml:space="preserve"> UTILIZAR LA GRILLA A MODO DE EJEMPLO</t>
  </si>
  <si>
    <t xml:space="preserve">Ejemplos de liquidación salarial para cargos sin antigüedad en la docencia. Al incluir antigüedades, disminuye o desaparece el monto del C.M.G. </t>
  </si>
  <si>
    <t xml:space="preserve"> Art. 128 Estatuto Docente R/ NB</t>
  </si>
  <si>
    <t>Antigüedad  Docente</t>
  </si>
  <si>
    <t>DECRETO 243/08 RB</t>
  </si>
  <si>
    <t>C.M.G.</t>
  </si>
  <si>
    <t>MDM</t>
  </si>
  <si>
    <t>SUBTOTAL NETO SIN C.M.G.</t>
  </si>
  <si>
    <t xml:space="preserve">FONID / RESOLUC. Nº 02/04 neto </t>
  </si>
  <si>
    <t>Sub Total Neto a cobrar</t>
  </si>
  <si>
    <t>TOTAL NETO A COBRAR</t>
  </si>
  <si>
    <r>
      <t>Para los cargos de Jardín se debe abonar un "</t>
    </r>
    <r>
      <rPr>
        <b/>
        <u/>
        <sz val="12"/>
        <rFont val="Cambria"/>
        <family val="1"/>
      </rPr>
      <t>suplememto no remunerativo y complementario"</t>
    </r>
    <r>
      <rPr>
        <b/>
        <sz val="12"/>
        <rFont val="Cambria"/>
        <family val="1"/>
      </rPr>
      <t xml:space="preserve"> para quienes cobren 50% de las AAFF</t>
    </r>
  </si>
  <si>
    <t>Maestro Bibliotecario (adultos tmb)</t>
  </si>
  <si>
    <t>Hora Maestro Gabinetista (M.Gdo. /20 hs)</t>
  </si>
  <si>
    <t>Hora desdoblamiento educ. fisica</t>
  </si>
  <si>
    <t>Hora nivelación idioma extranjero</t>
  </si>
  <si>
    <t xml:space="preserve">Hora de tutoría </t>
  </si>
  <si>
    <t xml:space="preserve">Hora de Jefatura de departameto </t>
  </si>
  <si>
    <t>Hora Observ. Ayud. Y Residencia</t>
  </si>
  <si>
    <t xml:space="preserve">Antigüedad  Decreto 243/08 </t>
  </si>
  <si>
    <t>INDICE del Sueldo básico Unificado</t>
  </si>
  <si>
    <t>Referencias</t>
  </si>
  <si>
    <t xml:space="preserve">VALOR INDICE </t>
  </si>
  <si>
    <t>JORNADA COMPLETA</t>
  </si>
  <si>
    <t xml:space="preserve">SALARIO MINIMO DOCENTE </t>
  </si>
  <si>
    <t>H. CATEDRA NIVEL SUP.</t>
  </si>
  <si>
    <t xml:space="preserve">FONID / RESOL. 02/04 NETO </t>
  </si>
  <si>
    <t>DECRETO Nº 483/05 Y SUS MODIF.</t>
  </si>
  <si>
    <t>SUBVENCIOANDO</t>
  </si>
  <si>
    <t>CAJA COMPL.</t>
  </si>
  <si>
    <t xml:space="preserve">HORA CATEDRA </t>
  </si>
  <si>
    <t>TOPE HORAS CARGOS SUPERIOR</t>
  </si>
  <si>
    <t>TOPE HORAS DOS CARGOS SUPERIOR</t>
  </si>
  <si>
    <t>TOPE HORAS CARGO             J-P-M</t>
  </si>
  <si>
    <t>TOPE HORAS DOS CARGOS    J-P-M-</t>
  </si>
  <si>
    <t>CANTIDAD DE HORAS</t>
  </si>
  <si>
    <t>Asig. Estímulo Educ.  R/ NB (Presentismo)</t>
  </si>
  <si>
    <t>Valor Sueldo Básico Unificado RB</t>
  </si>
  <si>
    <t>Jardín de Infantes Común / Nivel Inicial  - JORNADA COMPLETA</t>
  </si>
  <si>
    <t>Jardín de Infantes Común / Nivel Inicial  - JORNADA SIMPLE</t>
  </si>
  <si>
    <t>INDICE       del      Sueldo básico Unificado</t>
  </si>
  <si>
    <t xml:space="preserve"> Art. 128 Estatuto Docente       R/ NB</t>
  </si>
  <si>
    <t>TABLA DE ANTIGÜEDAD</t>
  </si>
  <si>
    <t>SUBVENCIONADO</t>
  </si>
  <si>
    <t xml:space="preserve">Primaria Común - JORNADA SIMPLE </t>
  </si>
  <si>
    <t>Primaria Común - JORNADA COMPLETA</t>
  </si>
  <si>
    <t>Primaria de Adultos</t>
  </si>
  <si>
    <r>
      <t xml:space="preserve">Enseñanza Especial R.M. 278/92 </t>
    </r>
    <r>
      <rPr>
        <sz val="10"/>
        <color indexed="51"/>
        <rFont val="Helvetica"/>
        <family val="2"/>
      </rPr>
      <t>(Reglamento Enseñanza Especial)</t>
    </r>
  </si>
  <si>
    <t>Nivel Medio Común</t>
  </si>
  <si>
    <t>Nivel Medio Tiempo Completo Proyecto XIII</t>
  </si>
  <si>
    <t>Nivel Medio Técnico</t>
  </si>
  <si>
    <t>Nivel Superior Docente</t>
  </si>
  <si>
    <t>Nivel Superior Técnico - Enfermería</t>
  </si>
  <si>
    <t>Jardín de Infantes Común / Nivel Inicial - JORNADA SIMPLE</t>
  </si>
  <si>
    <t>Jardín de Infantes Común / Nivel Inicial- JORNADA COMPLETA</t>
  </si>
  <si>
    <t>JORNADA               SIMPLE</t>
  </si>
  <si>
    <t>Jubilación 11%</t>
  </si>
  <si>
    <t xml:space="preserve">GARANTIA MINIMA JS </t>
  </si>
  <si>
    <t xml:space="preserve">GARANTIA MINIMA JC </t>
  </si>
  <si>
    <t>PLUS DIFERENCIAL POR JERARQUIZACIÓN</t>
  </si>
  <si>
    <t xml:space="preserve">PLUS DIFERENCIAL POR ESTABLECIMIENTO </t>
  </si>
  <si>
    <t xml:space="preserve">INDICES JERARQUIZACION </t>
  </si>
  <si>
    <t>Establecimientos Educativos de Nivel Inicial, Primario y Secundario</t>
  </si>
  <si>
    <t>1 turno y hasta 14 secciones.</t>
  </si>
  <si>
    <t>1 turno y entre 15 y 39 secciones.</t>
  </si>
  <si>
    <t>2 turnos y 40 o más secciones.</t>
  </si>
  <si>
    <t>2 turnos y hasta 29 secciones.</t>
  </si>
  <si>
    <t>2 turnos y entre 30 y 39 secciones</t>
  </si>
  <si>
    <t>3 turnos y 31 o más secciones.</t>
  </si>
  <si>
    <t>3 turnos y hasta 15 secciones.</t>
  </si>
  <si>
    <t>3 turnos y entre 16 y 30 secciones.</t>
  </si>
  <si>
    <t>Escuelas de Educación Especial</t>
  </si>
  <si>
    <t>1 turno</t>
  </si>
  <si>
    <t>2 turnos</t>
  </si>
  <si>
    <t>3 turnos</t>
  </si>
  <si>
    <t>Institutos de Formación Docente Nivel Superior</t>
  </si>
  <si>
    <t>Cargo 3509</t>
  </si>
  <si>
    <t xml:space="preserve">Primaria Adultos </t>
  </si>
  <si>
    <r>
      <t xml:space="preserve">Cargo </t>
    </r>
    <r>
      <rPr>
        <sz val="10"/>
        <rFont val="Cambria"/>
        <family val="1"/>
      </rPr>
      <t>578</t>
    </r>
  </si>
  <si>
    <t xml:space="preserve">TIPOLOGÍA I: </t>
  </si>
  <si>
    <t>TIPOLOGÍA II:</t>
  </si>
  <si>
    <t xml:space="preserve">TIPOLOGÍA III: </t>
  </si>
  <si>
    <t xml:space="preserve">Director de Jardín de Infantes </t>
  </si>
  <si>
    <t xml:space="preserve">Vicedirector  de Jardín de Infantes </t>
  </si>
  <si>
    <t xml:space="preserve">1 turno  </t>
  </si>
  <si>
    <t>ESTABLECIMINETOS EDUCATIVOS DE NIVEL INICIAL, PRIMARIO Y SECUNDARIO</t>
  </si>
  <si>
    <t>ESCUELAS DE EDUCACION ESPECIAL</t>
  </si>
  <si>
    <t>Adelanto Cláusula de Seguimiento 2017</t>
  </si>
  <si>
    <t>SUMA FIJA REMUNERATIVA NO BONIFICABLE POR ANTIGÜEDAD</t>
  </si>
  <si>
    <t>Índices</t>
  </si>
  <si>
    <t>Cargo Testigo</t>
  </si>
  <si>
    <t>Antigüedad</t>
  </si>
  <si>
    <t>Suma RNB</t>
  </si>
  <si>
    <t>EQUIVALENCIA 20 Horas Cátedra (todos los Niveles)</t>
  </si>
  <si>
    <t>Maestra Grado JS</t>
  </si>
  <si>
    <t>Hasta 60%</t>
  </si>
  <si>
    <t>70% o mayor</t>
  </si>
  <si>
    <t>Maestra Grado JC</t>
  </si>
  <si>
    <t>EQUIVALENCIA 40 Horas Cátedra (todos los Niveles)</t>
  </si>
  <si>
    <t>ADICIONAL ESPECIAL REM Y NO BONIF.</t>
  </si>
  <si>
    <t>SUMA FIJA NO REMUN.Y NO BONIF. POR UNICA VEZ</t>
  </si>
  <si>
    <t>1135 o mayor</t>
  </si>
  <si>
    <t>Si el puntaje fuera menor a 1.135 puntos, se otorgará un monto proporcional al puntaje del Sueldo Básico Unificado Docente</t>
  </si>
  <si>
    <t>2070 o mayor</t>
  </si>
  <si>
    <t>Si el puntaje fuera menor a 2.070 puntos, se otorgará un monto proporcional al puntaje del Sueldo Básico Unificado Docente.</t>
  </si>
  <si>
    <t>SE COMPUTA DENTRO del Complemento Mínimo Garantizado y será proporcional a los días trabajados por cada docente con un tope máximo mensual por persona equivalente al valor de cargos de Jornada Completa y según la escala de antigüedad establecida en cada caso. En todos los casos se mantienen las equivalencias de 20 horas cátedra para los cargos de Jornada Simple y 40 horas cátedra para los cargos de Jornada Completa</t>
  </si>
  <si>
    <t xml:space="preserve">Indices de Jerarquización </t>
  </si>
  <si>
    <t>Desde 2017</t>
  </si>
  <si>
    <t>Desde 03/2020</t>
  </si>
  <si>
    <t>Suma Fija Remun.  No Bonif</t>
  </si>
  <si>
    <t>Desde 09/2020</t>
  </si>
  <si>
    <t>PISO JS</t>
  </si>
  <si>
    <t>PISO JC</t>
  </si>
  <si>
    <t>ADICIONAL ESPECIAL</t>
  </si>
  <si>
    <t>ADICIONAL ESPECIAL  NO REM NO BONIF</t>
  </si>
  <si>
    <t>CONECTIVIDAD</t>
  </si>
  <si>
    <t>MATERIAL DIDACTICO REMUN..</t>
  </si>
  <si>
    <t>MATERIAL DIDACTICO          NO REMUN..</t>
  </si>
  <si>
    <t>MATERIAL DIDACTICO REM  (1135/2070 o mayor - sino proporc) desde 70%</t>
  </si>
  <si>
    <t>MATERIAL DIDACTICO NO REM  (1135/2070 o mayor- sino proporc) h/ 60%</t>
  </si>
  <si>
    <t>Grilla Salarial según ACTA PARITARIA  desde AGOSTO 2022</t>
  </si>
  <si>
    <t>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</si>
</sst>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\ #,##0.00;[Red]&quot;$&quot;\ \-#,##0.00"/>
    <numFmt numFmtId="165" formatCode="_ &quot;$&quot;\ * #,##0.00_ ;_ &quot;$&quot;\ * \-#,##0.00_ ;_ &quot;$&quot;\ * &quot;-&quot;??_ ;_ @_ "/>
    <numFmt numFmtId="166" formatCode="_ &quot;$&quot;\ * #,##0.000000000_ ;_ &quot;$&quot;\ * \-#,##0.000000000_ ;_ &quot;$&quot;\ * &quot;-&quot;??_ ;_ @_ "/>
    <numFmt numFmtId="167" formatCode="0.000"/>
    <numFmt numFmtId="168" formatCode="_ &quot;$&quot;\ * #,##0.000_ ;_ &quot;$&quot;\ * \-#,##0.000_ ;_ &quot;$&quot;\ * &quot;-&quot;??_ ;_ @_ "/>
    <numFmt numFmtId="169" formatCode="0.0000"/>
    <numFmt numFmtId="170" formatCode="_ &quot;$&quot;\ * #,##0.000000_ ;_ &quot;$&quot;\ * \-#,##0.000000_ ;_ &quot;$&quot;\ * &quot;-&quot;??_ ;_ @_ "/>
    <numFmt numFmtId="171" formatCode="&quot;$&quot;\ #,##0.000;[Red]&quot;$&quot;\ \-#,##0.000"/>
    <numFmt numFmtId="172" formatCode="_ &quot;$&quot;\ * #,##0.0000_ ;_ &quot;$&quot;\ * \-#,##0.0000_ ;_ &quot;$&quot;\ * &quot;-&quot;??_ ;_ @_ "/>
  </numFmts>
  <fonts count="47" x14ac:knownFonts="1">
    <font>
      <sz val="10"/>
      <name val="Arial"/>
    </font>
    <font>
      <sz val="10"/>
      <name val="Arial"/>
      <family val="2"/>
    </font>
    <font>
      <sz val="10"/>
      <name val="Helvetica"/>
      <family val="2"/>
    </font>
    <font>
      <sz val="10"/>
      <color indexed="10"/>
      <name val="Helvetica"/>
      <family val="2"/>
    </font>
    <font>
      <sz val="12"/>
      <name val="Helvetica"/>
      <family val="2"/>
    </font>
    <font>
      <sz val="8"/>
      <name val="Arial"/>
      <family val="2"/>
    </font>
    <font>
      <b/>
      <sz val="14"/>
      <name val="Helvetica"/>
      <family val="2"/>
    </font>
    <font>
      <b/>
      <sz val="22"/>
      <name val="Helvetica"/>
      <family val="2"/>
    </font>
    <font>
      <sz val="8"/>
      <name val="Arial"/>
      <family val="2"/>
    </font>
    <font>
      <b/>
      <sz val="28"/>
      <name val="Helvetica"/>
      <family val="2"/>
    </font>
    <font>
      <sz val="16"/>
      <name val="Helvetica"/>
      <family val="2"/>
    </font>
    <font>
      <b/>
      <sz val="12"/>
      <name val="Helvetica"/>
      <family val="2"/>
    </font>
    <font>
      <b/>
      <sz val="16"/>
      <name val="Helvetica"/>
      <family val="2"/>
    </font>
    <font>
      <sz val="12"/>
      <color indexed="56"/>
      <name val="Helvetica"/>
      <family val="2"/>
    </font>
    <font>
      <b/>
      <sz val="20"/>
      <name val="Helvetica"/>
      <family val="2"/>
    </font>
    <font>
      <sz val="12"/>
      <name val="Tahoma"/>
      <family val="2"/>
    </font>
    <font>
      <sz val="12"/>
      <color indexed="8"/>
      <name val="Helvetica"/>
      <family val="2"/>
    </font>
    <font>
      <sz val="12"/>
      <name val="Helvetica"/>
    </font>
    <font>
      <b/>
      <sz val="12"/>
      <name val="Cambria"/>
      <family val="1"/>
    </font>
    <font>
      <b/>
      <u/>
      <sz val="12"/>
      <name val="Cambria"/>
      <family val="1"/>
    </font>
    <font>
      <b/>
      <sz val="12"/>
      <name val="Helvetica"/>
    </font>
    <font>
      <b/>
      <sz val="10"/>
      <name val="Helvetica"/>
    </font>
    <font>
      <sz val="48"/>
      <name val="Helvetica"/>
      <family val="2"/>
    </font>
    <font>
      <b/>
      <sz val="11"/>
      <color indexed="9"/>
      <name val="Helvetica"/>
    </font>
    <font>
      <b/>
      <sz val="24"/>
      <name val="Helvetica"/>
    </font>
    <font>
      <b/>
      <sz val="10"/>
      <color indexed="9"/>
      <name val="Helvetica"/>
    </font>
    <font>
      <sz val="10"/>
      <color indexed="51"/>
      <name val="Helvetica"/>
      <family val="2"/>
    </font>
    <font>
      <sz val="11"/>
      <name val="Helvetica"/>
      <family val="2"/>
    </font>
    <font>
      <b/>
      <sz val="16"/>
      <name val="Helvetica"/>
    </font>
    <font>
      <sz val="16"/>
      <name val="Arial"/>
      <family val="2"/>
    </font>
    <font>
      <sz val="9"/>
      <color indexed="81"/>
      <name val="Tahoma"/>
      <family val="2"/>
    </font>
    <font>
      <b/>
      <sz val="12"/>
      <color indexed="81"/>
      <name val="Helvetica"/>
    </font>
    <font>
      <b/>
      <sz val="9"/>
      <color indexed="81"/>
      <name val="Tahoma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sz val="14"/>
      <name val="Cambria"/>
      <family val="1"/>
    </font>
    <font>
      <sz val="11"/>
      <name val="Arial"/>
      <family val="2"/>
    </font>
    <font>
      <b/>
      <sz val="12"/>
      <name val="Calibri"/>
      <family val="2"/>
    </font>
    <font>
      <b/>
      <sz val="5"/>
      <name val="Calibri"/>
      <family val="2"/>
    </font>
    <font>
      <sz val="12"/>
      <name val="Calibri"/>
      <family val="2"/>
    </font>
    <font>
      <sz val="12"/>
      <color theme="1"/>
      <name val="Helvetica"/>
      <family val="2"/>
    </font>
    <font>
      <sz val="16"/>
      <color rgb="FFFFC000"/>
      <name val="Helvetica"/>
      <family val="2"/>
    </font>
    <font>
      <sz val="16"/>
      <color rgb="FFFFC000"/>
      <name val="Helvetica"/>
    </font>
    <font>
      <b/>
      <u/>
      <sz val="11"/>
      <color rgb="FF000000"/>
      <name val="Cambria"/>
      <family val="1"/>
    </font>
    <font>
      <b/>
      <sz val="18"/>
      <name val="Helvetica"/>
    </font>
    <font>
      <b/>
      <sz val="22"/>
      <name val="Helvetica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9" fontId="0" fillId="0" borderId="0" xfId="0" applyNumberFormat="1"/>
    <xf numFmtId="0" fontId="2" fillId="2" borderId="0" xfId="0" applyFont="1" applyFill="1"/>
    <xf numFmtId="165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5" fontId="2" fillId="0" borderId="0" xfId="1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65" fontId="2" fillId="0" borderId="0" xfId="1" applyFont="1" applyBorder="1" applyAlignment="1">
      <alignment horizontal="center" wrapText="1"/>
    </xf>
    <xf numFmtId="165" fontId="2" fillId="0" borderId="0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5" fontId="3" fillId="0" borderId="0" xfId="1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wrapText="1"/>
    </xf>
    <xf numFmtId="0" fontId="2" fillId="0" borderId="0" xfId="0" applyFont="1" applyFill="1"/>
    <xf numFmtId="0" fontId="4" fillId="9" borderId="4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1" applyFont="1" applyFill="1" applyBorder="1" applyAlignment="1">
      <alignment horizontal="center" vertical="center" wrapText="1"/>
    </xf>
    <xf numFmtId="165" fontId="4" fillId="0" borderId="0" xfId="1" applyFont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 wrapText="1"/>
    </xf>
    <xf numFmtId="165" fontId="4" fillId="9" borderId="0" xfId="0" applyNumberFormat="1" applyFont="1" applyFill="1" applyBorder="1" applyAlignment="1">
      <alignment horizontal="center" vertical="center" wrapText="1"/>
    </xf>
    <xf numFmtId="165" fontId="13" fillId="9" borderId="0" xfId="0" applyNumberFormat="1" applyFont="1" applyFill="1" applyBorder="1" applyAlignment="1">
      <alignment horizontal="center" vertical="center" wrapText="1"/>
    </xf>
    <xf numFmtId="164" fontId="4" fillId="9" borderId="0" xfId="0" applyNumberFormat="1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wrapText="1"/>
    </xf>
    <xf numFmtId="0" fontId="4" fillId="9" borderId="2" xfId="0" applyFont="1" applyFill="1" applyBorder="1" applyAlignment="1">
      <alignment horizontal="center" wrapText="1"/>
    </xf>
    <xf numFmtId="0" fontId="17" fillId="10" borderId="5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168" fontId="4" fillId="9" borderId="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41" fillId="9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left" vertical="center"/>
    </xf>
    <xf numFmtId="0" fontId="23" fillId="3" borderId="5" xfId="0" applyFont="1" applyFill="1" applyBorder="1" applyAlignment="1">
      <alignment horizontal="center" vertical="center" wrapText="1"/>
    </xf>
    <xf numFmtId="165" fontId="4" fillId="9" borderId="11" xfId="0" applyNumberFormat="1" applyFont="1" applyFill="1" applyBorder="1" applyAlignment="1">
      <alignment horizontal="center" vertical="center" wrapText="1"/>
    </xf>
    <xf numFmtId="165" fontId="4" fillId="9" borderId="1" xfId="0" applyNumberFormat="1" applyFont="1" applyFill="1" applyBorder="1" applyAlignment="1">
      <alignment horizontal="center" vertical="center" wrapText="1"/>
    </xf>
    <xf numFmtId="165" fontId="4" fillId="9" borderId="2" xfId="0" applyNumberFormat="1" applyFont="1" applyFill="1" applyBorder="1" applyAlignment="1">
      <alignment horizontal="center" vertical="center" wrapText="1"/>
    </xf>
    <xf numFmtId="0" fontId="24" fillId="0" borderId="0" xfId="0" applyFont="1"/>
    <xf numFmtId="166" fontId="12" fillId="9" borderId="0" xfId="1" applyNumberFormat="1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center" vertical="center"/>
    </xf>
    <xf numFmtId="0" fontId="41" fillId="9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4" fillId="10" borderId="1" xfId="0" applyNumberFormat="1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 vertical="center" wrapText="1"/>
    </xf>
    <xf numFmtId="165" fontId="4" fillId="0" borderId="1" xfId="1" applyFont="1" applyBorder="1" applyAlignment="1">
      <alignment horizontal="center" vertical="center" wrapText="1"/>
    </xf>
    <xf numFmtId="165" fontId="4" fillId="0" borderId="2" xfId="1" applyFont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164" fontId="4" fillId="9" borderId="2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right" vertical="center" wrapText="1"/>
    </xf>
    <xf numFmtId="0" fontId="42" fillId="4" borderId="12" xfId="0" applyFont="1" applyFill="1" applyBorder="1" applyAlignment="1"/>
    <xf numFmtId="0" fontId="42" fillId="4" borderId="13" xfId="0" applyFont="1" applyFill="1" applyBorder="1" applyAlignment="1"/>
    <xf numFmtId="0" fontId="4" fillId="9" borderId="0" xfId="0" applyFont="1" applyFill="1" applyBorder="1" applyAlignment="1">
      <alignment vertical="center"/>
    </xf>
    <xf numFmtId="0" fontId="23" fillId="3" borderId="14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/>
    </xf>
    <xf numFmtId="0" fontId="4" fillId="9" borderId="3" xfId="0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25" fillId="3" borderId="5" xfId="0" applyFont="1" applyFill="1" applyBorder="1" applyAlignment="1">
      <alignment horizontal="center" vertical="center" wrapText="1"/>
    </xf>
    <xf numFmtId="165" fontId="4" fillId="0" borderId="15" xfId="1" applyFont="1" applyBorder="1" applyAlignment="1">
      <alignment horizontal="center" vertical="center" wrapText="1"/>
    </xf>
    <xf numFmtId="165" fontId="4" fillId="9" borderId="15" xfId="0" applyNumberFormat="1" applyFont="1" applyFill="1" applyBorder="1" applyAlignment="1">
      <alignment horizontal="center" vertical="center" wrapText="1"/>
    </xf>
    <xf numFmtId="165" fontId="4" fillId="9" borderId="14" xfId="0" applyNumberFormat="1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left" wrapText="1"/>
    </xf>
    <xf numFmtId="0" fontId="15" fillId="9" borderId="1" xfId="0" applyFont="1" applyFill="1" applyBorder="1" applyAlignment="1">
      <alignment vertical="center"/>
    </xf>
    <xf numFmtId="0" fontId="17" fillId="9" borderId="2" xfId="0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/>
    </xf>
    <xf numFmtId="165" fontId="4" fillId="9" borderId="1" xfId="1" applyFont="1" applyFill="1" applyBorder="1" applyAlignment="1">
      <alignment horizontal="center" vertical="center" wrapText="1"/>
    </xf>
    <xf numFmtId="165" fontId="4" fillId="9" borderId="2" xfId="1" applyFont="1" applyFill="1" applyBorder="1" applyAlignment="1">
      <alignment horizontal="center" vertical="center" wrapText="1"/>
    </xf>
    <xf numFmtId="165" fontId="16" fillId="9" borderId="1" xfId="0" applyNumberFormat="1" applyFont="1" applyFill="1" applyBorder="1" applyAlignment="1">
      <alignment horizontal="center" vertical="center" wrapText="1"/>
    </xf>
    <xf numFmtId="165" fontId="16" fillId="9" borderId="2" xfId="0" applyNumberFormat="1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wrapText="1"/>
    </xf>
    <xf numFmtId="0" fontId="4" fillId="9" borderId="0" xfId="0" applyFont="1" applyFill="1" applyBorder="1" applyAlignment="1">
      <alignment horizontal="left" wrapText="1"/>
    </xf>
    <xf numFmtId="0" fontId="4" fillId="9" borderId="0" xfId="0" applyFont="1" applyFill="1" applyBorder="1" applyAlignment="1">
      <alignment horizontal="center" wrapText="1"/>
    </xf>
    <xf numFmtId="165" fontId="4" fillId="2" borderId="0" xfId="0" applyNumberFormat="1" applyFont="1" applyFill="1" applyBorder="1" applyAlignment="1">
      <alignment horizontal="center" wrapText="1"/>
    </xf>
    <xf numFmtId="0" fontId="4" fillId="9" borderId="9" xfId="0" applyFont="1" applyFill="1" applyBorder="1" applyAlignment="1">
      <alignment horizontal="center" vertical="center"/>
    </xf>
    <xf numFmtId="165" fontId="4" fillId="9" borderId="0" xfId="1" applyFont="1" applyFill="1" applyBorder="1" applyAlignment="1">
      <alignment horizontal="center" wrapText="1"/>
    </xf>
    <xf numFmtId="164" fontId="4" fillId="9" borderId="0" xfId="0" applyNumberFormat="1" applyFont="1" applyFill="1" applyBorder="1" applyAlignment="1">
      <alignment horizontal="right" vertical="center" wrapText="1"/>
    </xf>
    <xf numFmtId="165" fontId="4" fillId="9" borderId="17" xfId="0" applyNumberFormat="1" applyFont="1" applyFill="1" applyBorder="1" applyAlignment="1">
      <alignment horizontal="center" vertical="center" wrapText="1"/>
    </xf>
    <xf numFmtId="165" fontId="4" fillId="9" borderId="18" xfId="0" applyNumberFormat="1" applyFont="1" applyFill="1" applyBorder="1" applyAlignment="1">
      <alignment horizontal="center" vertical="center" wrapText="1"/>
    </xf>
    <xf numFmtId="0" fontId="42" fillId="4" borderId="0" xfId="0" applyFont="1" applyFill="1" applyBorder="1" applyAlignment="1"/>
    <xf numFmtId="0" fontId="42" fillId="4" borderId="19" xfId="0" applyFont="1" applyFill="1" applyBorder="1" applyAlignment="1"/>
    <xf numFmtId="0" fontId="42" fillId="4" borderId="20" xfId="0" applyFont="1" applyFill="1" applyBorder="1" applyAlignment="1"/>
    <xf numFmtId="0" fontId="42" fillId="4" borderId="21" xfId="0" applyFont="1" applyFill="1" applyBorder="1" applyAlignment="1">
      <alignment wrapText="1"/>
    </xf>
    <xf numFmtId="166" fontId="12" fillId="9" borderId="22" xfId="1" applyNumberFormat="1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4" fillId="0" borderId="23" xfId="0" applyFont="1" applyBorder="1"/>
    <xf numFmtId="0" fontId="28" fillId="0" borderId="22" xfId="0" applyFont="1" applyBorder="1"/>
    <xf numFmtId="0" fontId="42" fillId="11" borderId="12" xfId="0" applyFont="1" applyFill="1" applyBorder="1" applyAlignment="1"/>
    <xf numFmtId="0" fontId="2" fillId="11" borderId="0" xfId="0" applyFont="1" applyFill="1"/>
    <xf numFmtId="0" fontId="42" fillId="11" borderId="13" xfId="0" applyFont="1" applyFill="1" applyBorder="1" applyAlignment="1"/>
    <xf numFmtId="0" fontId="42" fillId="11" borderId="24" xfId="0" applyFont="1" applyFill="1" applyBorder="1" applyAlignment="1"/>
    <xf numFmtId="0" fontId="23" fillId="3" borderId="21" xfId="0" applyFont="1" applyFill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165" fontId="4" fillId="9" borderId="26" xfId="0" applyNumberFormat="1" applyFont="1" applyFill="1" applyBorder="1" applyAlignment="1">
      <alignment horizontal="center" vertical="center" wrapText="1"/>
    </xf>
    <xf numFmtId="165" fontId="4" fillId="9" borderId="4" xfId="0" applyNumberFormat="1" applyFont="1" applyFill="1" applyBorder="1" applyAlignment="1">
      <alignment horizontal="center" vertical="center" wrapText="1"/>
    </xf>
    <xf numFmtId="165" fontId="4" fillId="9" borderId="6" xfId="0" applyNumberFormat="1" applyFont="1" applyFill="1" applyBorder="1" applyAlignment="1">
      <alignment horizontal="center" vertical="center" wrapText="1"/>
    </xf>
    <xf numFmtId="165" fontId="4" fillId="9" borderId="25" xfId="0" applyNumberFormat="1" applyFont="1" applyFill="1" applyBorder="1" applyAlignment="1">
      <alignment horizontal="center" vertical="center" wrapText="1"/>
    </xf>
    <xf numFmtId="165" fontId="4" fillId="9" borderId="7" xfId="0" applyNumberFormat="1" applyFont="1" applyFill="1" applyBorder="1" applyAlignment="1">
      <alignment horizontal="center" vertical="center" wrapText="1"/>
    </xf>
    <xf numFmtId="165" fontId="4" fillId="9" borderId="16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9" borderId="27" xfId="0" applyNumberFormat="1" applyFont="1" applyFill="1" applyBorder="1" applyAlignment="1">
      <alignment horizontal="center" vertical="center" wrapText="1"/>
    </xf>
    <xf numFmtId="165" fontId="4" fillId="9" borderId="3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 wrapText="1"/>
    </xf>
    <xf numFmtId="165" fontId="4" fillId="9" borderId="28" xfId="0" applyNumberFormat="1" applyFont="1" applyFill="1" applyBorder="1" applyAlignment="1">
      <alignment horizontal="center" vertical="center" wrapText="1"/>
    </xf>
    <xf numFmtId="165" fontId="4" fillId="9" borderId="29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vertical="center"/>
    </xf>
    <xf numFmtId="0" fontId="4" fillId="10" borderId="15" xfId="0" applyFont="1" applyFill="1" applyBorder="1" applyAlignment="1">
      <alignment horizontal="center" vertical="center" wrapText="1"/>
    </xf>
    <xf numFmtId="0" fontId="29" fillId="0" borderId="0" xfId="0" applyFont="1"/>
    <xf numFmtId="0" fontId="27" fillId="9" borderId="16" xfId="0" applyFont="1" applyFill="1" applyBorder="1" applyAlignment="1">
      <alignment horizontal="left" wrapText="1"/>
    </xf>
    <xf numFmtId="0" fontId="27" fillId="9" borderId="29" xfId="0" applyFont="1" applyFill="1" applyBorder="1" applyAlignment="1">
      <alignment horizontal="left" wrapText="1"/>
    </xf>
    <xf numFmtId="164" fontId="4" fillId="9" borderId="4" xfId="0" applyNumberFormat="1" applyFont="1" applyFill="1" applyBorder="1" applyAlignment="1">
      <alignment horizontal="center" vertical="center" wrapText="1"/>
    </xf>
    <xf numFmtId="164" fontId="4" fillId="9" borderId="7" xfId="0" applyNumberFormat="1" applyFont="1" applyFill="1" applyBorder="1" applyAlignment="1">
      <alignment horizontal="center" vertical="center" wrapText="1"/>
    </xf>
    <xf numFmtId="164" fontId="4" fillId="9" borderId="4" xfId="0" applyNumberFormat="1" applyFont="1" applyFill="1" applyBorder="1" applyAlignment="1">
      <alignment horizontal="right" vertical="center" wrapText="1"/>
    </xf>
    <xf numFmtId="165" fontId="4" fillId="9" borderId="20" xfId="0" applyNumberFormat="1" applyFont="1" applyFill="1" applyBorder="1" applyAlignment="1">
      <alignment horizontal="center" vertical="center" wrapText="1"/>
    </xf>
    <xf numFmtId="164" fontId="4" fillId="9" borderId="7" xfId="0" applyNumberFormat="1" applyFont="1" applyFill="1" applyBorder="1" applyAlignment="1">
      <alignment horizontal="right" vertical="center" wrapText="1"/>
    </xf>
    <xf numFmtId="2" fontId="10" fillId="12" borderId="22" xfId="0" applyNumberFormat="1" applyFont="1" applyFill="1" applyBorder="1" applyAlignment="1">
      <alignment horizontal="center" vertical="center" wrapText="1"/>
    </xf>
    <xf numFmtId="167" fontId="10" fillId="12" borderId="22" xfId="0" applyNumberFormat="1" applyFont="1" applyFill="1" applyBorder="1" applyAlignment="1">
      <alignment horizontal="center" vertical="center" wrapText="1"/>
    </xf>
    <xf numFmtId="169" fontId="10" fillId="12" borderId="22" xfId="0" applyNumberFormat="1" applyFont="1" applyFill="1" applyBorder="1" applyAlignment="1">
      <alignment horizontal="center" vertical="center" wrapText="1"/>
    </xf>
    <xf numFmtId="167" fontId="10" fillId="12" borderId="22" xfId="1" applyNumberFormat="1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center" vertical="center" wrapText="1"/>
    </xf>
    <xf numFmtId="0" fontId="4" fillId="9" borderId="28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30" xfId="0" applyNumberFormat="1" applyFont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9" borderId="3" xfId="0" applyFont="1" applyFill="1" applyBorder="1" applyAlignment="1">
      <alignment horizontal="center" vertical="center"/>
    </xf>
    <xf numFmtId="164" fontId="4" fillId="9" borderId="5" xfId="0" applyNumberFormat="1" applyFont="1" applyFill="1" applyBorder="1" applyAlignment="1">
      <alignment horizontal="center" vertical="center" wrapText="1"/>
    </xf>
    <xf numFmtId="165" fontId="4" fillId="0" borderId="4" xfId="1" applyFont="1" applyBorder="1" applyAlignment="1">
      <alignment horizontal="center" vertical="center" wrapText="1"/>
    </xf>
    <xf numFmtId="165" fontId="4" fillId="0" borderId="7" xfId="1" applyFont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justify" vertical="center" wrapText="1"/>
    </xf>
    <xf numFmtId="0" fontId="34" fillId="0" borderId="6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center" vertical="center" wrapText="1"/>
    </xf>
    <xf numFmtId="9" fontId="34" fillId="0" borderId="3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6" fillId="0" borderId="6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0" fontId="41" fillId="9" borderId="15" xfId="0" applyFont="1" applyFill="1" applyBorder="1" applyAlignment="1">
      <alignment horizontal="center" vertical="center"/>
    </xf>
    <xf numFmtId="165" fontId="4" fillId="0" borderId="25" xfId="1" applyFont="1" applyBorder="1" applyAlignment="1">
      <alignment horizontal="center" vertical="center" wrapText="1"/>
    </xf>
    <xf numFmtId="165" fontId="4" fillId="0" borderId="26" xfId="1" applyFont="1" applyBorder="1" applyAlignment="1">
      <alignment horizontal="center" vertical="center" wrapText="1"/>
    </xf>
    <xf numFmtId="164" fontId="4" fillId="9" borderId="25" xfId="0" applyNumberFormat="1" applyFont="1" applyFill="1" applyBorder="1" applyAlignment="1">
      <alignment horizontal="center" vertical="center" wrapText="1"/>
    </xf>
    <xf numFmtId="165" fontId="4" fillId="9" borderId="32" xfId="0" applyNumberFormat="1" applyFont="1" applyFill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left" vertical="center"/>
    </xf>
    <xf numFmtId="0" fontId="4" fillId="9" borderId="26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165" fontId="4" fillId="0" borderId="29" xfId="0" applyNumberFormat="1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4" fillId="9" borderId="33" xfId="0" applyFont="1" applyFill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165" fontId="4" fillId="0" borderId="3" xfId="1" applyFont="1" applyBorder="1" applyAlignment="1">
      <alignment horizontal="center" vertical="center" wrapText="1"/>
    </xf>
    <xf numFmtId="0" fontId="4" fillId="9" borderId="26" xfId="0" applyFont="1" applyFill="1" applyBorder="1" applyAlignment="1">
      <alignment vertical="center" wrapText="1"/>
    </xf>
    <xf numFmtId="0" fontId="4" fillId="9" borderId="17" xfId="0" applyFont="1" applyFill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4" fillId="9" borderId="18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vertical="center"/>
    </xf>
    <xf numFmtId="0" fontId="4" fillId="9" borderId="17" xfId="0" applyFont="1" applyFill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165" fontId="16" fillId="9" borderId="17" xfId="0" applyNumberFormat="1" applyFont="1" applyFill="1" applyBorder="1" applyAlignment="1">
      <alignment horizontal="center" vertical="center" wrapText="1"/>
    </xf>
    <xf numFmtId="165" fontId="16" fillId="9" borderId="18" xfId="0" applyNumberFormat="1" applyFont="1" applyFill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justify" vertical="justify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9" borderId="0" xfId="1" applyFont="1" applyFill="1" applyAlignment="1">
      <alignment horizontal="center" wrapText="1"/>
    </xf>
    <xf numFmtId="0" fontId="10" fillId="12" borderId="22" xfId="0" applyFont="1" applyFill="1" applyBorder="1" applyAlignment="1">
      <alignment horizontal="center" vertical="center" wrapText="1"/>
    </xf>
    <xf numFmtId="165" fontId="2" fillId="12" borderId="0" xfId="1" applyFont="1" applyFill="1" applyAlignment="1">
      <alignment horizontal="center" wrapText="1"/>
    </xf>
    <xf numFmtId="164" fontId="4" fillId="9" borderId="37" xfId="0" applyNumberFormat="1" applyFont="1" applyFill="1" applyBorder="1" applyAlignment="1">
      <alignment horizontal="center" vertical="center" wrapText="1"/>
    </xf>
    <xf numFmtId="164" fontId="4" fillId="9" borderId="18" xfId="0" applyNumberFormat="1" applyFont="1" applyFill="1" applyBorder="1" applyAlignment="1">
      <alignment horizontal="center" vertical="center" wrapText="1"/>
    </xf>
    <xf numFmtId="164" fontId="4" fillId="9" borderId="26" xfId="0" applyNumberFormat="1" applyFont="1" applyFill="1" applyBorder="1" applyAlignment="1">
      <alignment horizontal="center" vertical="center" wrapText="1"/>
    </xf>
    <xf numFmtId="164" fontId="4" fillId="9" borderId="17" xfId="0" applyNumberFormat="1" applyFont="1" applyFill="1" applyBorder="1" applyAlignment="1">
      <alignment horizontal="center" vertical="center" wrapText="1"/>
    </xf>
    <xf numFmtId="164" fontId="4" fillId="9" borderId="31" xfId="0" applyNumberFormat="1" applyFont="1" applyFill="1" applyBorder="1" applyAlignment="1">
      <alignment horizontal="center" vertical="center" wrapText="1"/>
    </xf>
    <xf numFmtId="0" fontId="41" fillId="13" borderId="11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vertical="center"/>
    </xf>
    <xf numFmtId="0" fontId="4" fillId="13" borderId="11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165" fontId="4" fillId="13" borderId="11" xfId="1" applyFont="1" applyFill="1" applyBorder="1" applyAlignment="1">
      <alignment horizontal="center" vertical="center" wrapText="1"/>
    </xf>
    <xf numFmtId="165" fontId="4" fillId="13" borderId="38" xfId="1" applyFont="1" applyFill="1" applyBorder="1" applyAlignment="1">
      <alignment horizontal="center" vertical="center" wrapText="1"/>
    </xf>
    <xf numFmtId="165" fontId="4" fillId="13" borderId="11" xfId="0" applyNumberFormat="1" applyFont="1" applyFill="1" applyBorder="1" applyAlignment="1">
      <alignment horizontal="center" vertical="center" wrapText="1"/>
    </xf>
    <xf numFmtId="165" fontId="4" fillId="13" borderId="37" xfId="1" applyFont="1" applyFill="1" applyBorder="1" applyAlignment="1">
      <alignment horizontal="center" vertical="center" wrapText="1"/>
    </xf>
    <xf numFmtId="165" fontId="4" fillId="13" borderId="37" xfId="0" applyNumberFormat="1" applyFont="1" applyFill="1" applyBorder="1" applyAlignment="1">
      <alignment horizontal="center" vertical="center" wrapText="1"/>
    </xf>
    <xf numFmtId="165" fontId="4" fillId="13" borderId="38" xfId="0" applyNumberFormat="1" applyFont="1" applyFill="1" applyBorder="1" applyAlignment="1">
      <alignment horizontal="center" vertical="center" wrapText="1"/>
    </xf>
    <xf numFmtId="165" fontId="4" fillId="13" borderId="39" xfId="0" applyNumberFormat="1" applyFont="1" applyFill="1" applyBorder="1" applyAlignment="1">
      <alignment horizontal="center" vertical="center" wrapText="1"/>
    </xf>
    <xf numFmtId="164" fontId="4" fillId="13" borderId="11" xfId="0" applyNumberFormat="1" applyFont="1" applyFill="1" applyBorder="1" applyAlignment="1">
      <alignment horizontal="center" vertical="center" wrapText="1"/>
    </xf>
    <xf numFmtId="0" fontId="41" fillId="13" borderId="6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vertical="center"/>
    </xf>
    <xf numFmtId="0" fontId="4" fillId="13" borderId="6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165" fontId="4" fillId="13" borderId="6" xfId="1" applyFont="1" applyFill="1" applyBorder="1" applyAlignment="1">
      <alignment horizontal="center" vertical="center" wrapText="1"/>
    </xf>
    <xf numFmtId="165" fontId="4" fillId="13" borderId="30" xfId="1" applyFont="1" applyFill="1" applyBorder="1" applyAlignment="1">
      <alignment horizontal="center" vertical="center" wrapText="1"/>
    </xf>
    <xf numFmtId="165" fontId="4" fillId="13" borderId="6" xfId="0" applyNumberFormat="1" applyFont="1" applyFill="1" applyBorder="1" applyAlignment="1">
      <alignment horizontal="center" vertical="center" wrapText="1"/>
    </xf>
    <xf numFmtId="165" fontId="4" fillId="13" borderId="20" xfId="1" applyFont="1" applyFill="1" applyBorder="1" applyAlignment="1">
      <alignment horizontal="center" vertical="center" wrapText="1"/>
    </xf>
    <xf numFmtId="165" fontId="4" fillId="13" borderId="3" xfId="0" applyNumberFormat="1" applyFont="1" applyFill="1" applyBorder="1" applyAlignment="1">
      <alignment horizontal="center" vertical="center" wrapText="1"/>
    </xf>
    <xf numFmtId="165" fontId="4" fillId="13" borderId="27" xfId="0" applyNumberFormat="1" applyFont="1" applyFill="1" applyBorder="1" applyAlignment="1">
      <alignment horizontal="center" vertical="center" wrapText="1"/>
    </xf>
    <xf numFmtId="165" fontId="4" fillId="13" borderId="8" xfId="0" applyNumberFormat="1" applyFont="1" applyFill="1" applyBorder="1" applyAlignment="1">
      <alignment horizontal="center" vertical="center" wrapText="1"/>
    </xf>
    <xf numFmtId="165" fontId="4" fillId="13" borderId="29" xfId="0" applyNumberFormat="1" applyFont="1" applyFill="1" applyBorder="1" applyAlignment="1">
      <alignment horizontal="center" vertical="center" wrapText="1"/>
    </xf>
    <xf numFmtId="164" fontId="4" fillId="13" borderId="6" xfId="0" applyNumberFormat="1" applyFont="1" applyFill="1" applyBorder="1" applyAlignment="1">
      <alignment horizontal="center" vertical="center" wrapText="1"/>
    </xf>
    <xf numFmtId="165" fontId="4" fillId="13" borderId="2" xfId="0" applyNumberFormat="1" applyFont="1" applyFill="1" applyBorder="1" applyAlignment="1">
      <alignment horizontal="center" vertical="center" wrapText="1"/>
    </xf>
    <xf numFmtId="0" fontId="41" fillId="15" borderId="11" xfId="0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vertical="center"/>
    </xf>
    <xf numFmtId="0" fontId="4" fillId="15" borderId="11" xfId="0" applyFont="1" applyFill="1" applyBorder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 wrapText="1"/>
    </xf>
    <xf numFmtId="165" fontId="4" fillId="15" borderId="11" xfId="1" applyFont="1" applyFill="1" applyBorder="1" applyAlignment="1">
      <alignment horizontal="center" vertical="center" wrapText="1"/>
    </xf>
    <xf numFmtId="165" fontId="4" fillId="15" borderId="38" xfId="1" applyFont="1" applyFill="1" applyBorder="1" applyAlignment="1">
      <alignment horizontal="center" vertical="center" wrapText="1"/>
    </xf>
    <xf numFmtId="165" fontId="4" fillId="15" borderId="11" xfId="0" applyNumberFormat="1" applyFont="1" applyFill="1" applyBorder="1" applyAlignment="1">
      <alignment horizontal="center" vertical="center" wrapText="1"/>
    </xf>
    <xf numFmtId="165" fontId="4" fillId="15" borderId="38" xfId="0" applyNumberFormat="1" applyFont="1" applyFill="1" applyBorder="1" applyAlignment="1">
      <alignment horizontal="center" vertical="center" wrapText="1"/>
    </xf>
    <xf numFmtId="165" fontId="4" fillId="15" borderId="39" xfId="0" applyNumberFormat="1" applyFont="1" applyFill="1" applyBorder="1" applyAlignment="1">
      <alignment horizontal="center" vertical="center" wrapText="1"/>
    </xf>
    <xf numFmtId="165" fontId="4" fillId="15" borderId="37" xfId="0" applyNumberFormat="1" applyFont="1" applyFill="1" applyBorder="1" applyAlignment="1">
      <alignment horizontal="center" vertical="center" wrapText="1"/>
    </xf>
    <xf numFmtId="164" fontId="4" fillId="15" borderId="11" xfId="0" applyNumberFormat="1" applyFont="1" applyFill="1" applyBorder="1" applyAlignment="1">
      <alignment horizontal="center" vertical="center" wrapText="1"/>
    </xf>
    <xf numFmtId="0" fontId="41" fillId="15" borderId="2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vertical="center"/>
    </xf>
    <xf numFmtId="0" fontId="4" fillId="15" borderId="2" xfId="0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165" fontId="4" fillId="15" borderId="2" xfId="1" applyFont="1" applyFill="1" applyBorder="1" applyAlignment="1">
      <alignment horizontal="center" vertical="center" wrapText="1"/>
    </xf>
    <xf numFmtId="165" fontId="4" fillId="15" borderId="7" xfId="1" applyFont="1" applyFill="1" applyBorder="1" applyAlignment="1">
      <alignment horizontal="center" vertical="center" wrapText="1"/>
    </xf>
    <xf numFmtId="165" fontId="4" fillId="15" borderId="6" xfId="0" applyNumberFormat="1" applyFont="1" applyFill="1" applyBorder="1" applyAlignment="1">
      <alignment horizontal="center" vertical="center" wrapText="1"/>
    </xf>
    <xf numFmtId="165" fontId="4" fillId="15" borderId="18" xfId="1" applyFont="1" applyFill="1" applyBorder="1" applyAlignment="1">
      <alignment horizontal="center" vertical="center" wrapText="1"/>
    </xf>
    <xf numFmtId="165" fontId="4" fillId="15" borderId="2" xfId="0" applyNumberFormat="1" applyFont="1" applyFill="1" applyBorder="1" applyAlignment="1">
      <alignment horizontal="center" vertical="center" wrapText="1"/>
    </xf>
    <xf numFmtId="165" fontId="4" fillId="15" borderId="7" xfId="0" applyNumberFormat="1" applyFont="1" applyFill="1" applyBorder="1" applyAlignment="1">
      <alignment horizontal="center" vertical="center" wrapText="1"/>
    </xf>
    <xf numFmtId="165" fontId="4" fillId="15" borderId="29" xfId="0" applyNumberFormat="1" applyFont="1" applyFill="1" applyBorder="1" applyAlignment="1">
      <alignment horizontal="center" vertical="center" wrapText="1"/>
    </xf>
    <xf numFmtId="165" fontId="4" fillId="15" borderId="18" xfId="0" applyNumberFormat="1" applyFont="1" applyFill="1" applyBorder="1" applyAlignment="1">
      <alignment horizontal="center" vertical="center" wrapText="1"/>
    </xf>
    <xf numFmtId="164" fontId="4" fillId="15" borderId="2" xfId="0" applyNumberFormat="1" applyFont="1" applyFill="1" applyBorder="1" applyAlignment="1">
      <alignment horizontal="center" vertical="center" wrapText="1"/>
    </xf>
    <xf numFmtId="0" fontId="4" fillId="13" borderId="40" xfId="0" applyFont="1" applyFill="1" applyBorder="1" applyAlignment="1">
      <alignment horizontal="center" vertical="center" wrapText="1"/>
    </xf>
    <xf numFmtId="0" fontId="4" fillId="13" borderId="41" xfId="0" applyFont="1" applyFill="1" applyBorder="1" applyAlignment="1">
      <alignment horizontal="center" vertical="center" wrapText="1"/>
    </xf>
    <xf numFmtId="0" fontId="4" fillId="14" borderId="42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3" borderId="43" xfId="0" applyFont="1" applyFill="1" applyBorder="1" applyAlignment="1">
      <alignment horizontal="center" vertical="center" wrapText="1"/>
    </xf>
    <xf numFmtId="0" fontId="4" fillId="13" borderId="44" xfId="0" applyFont="1" applyFill="1" applyBorder="1" applyAlignment="1">
      <alignment horizontal="center" vertical="center" wrapText="1"/>
    </xf>
    <xf numFmtId="0" fontId="4" fillId="14" borderId="45" xfId="0" applyFont="1" applyFill="1" applyBorder="1" applyAlignment="1">
      <alignment horizontal="center" vertical="center" wrapText="1"/>
    </xf>
    <xf numFmtId="165" fontId="4" fillId="13" borderId="2" xfId="1" applyFont="1" applyFill="1" applyBorder="1" applyAlignment="1">
      <alignment horizontal="center" vertical="center" wrapText="1"/>
    </xf>
    <xf numFmtId="165" fontId="4" fillId="13" borderId="7" xfId="0" applyNumberFormat="1" applyFont="1" applyFill="1" applyBorder="1" applyAlignment="1">
      <alignment horizontal="center" vertical="center" wrapText="1"/>
    </xf>
    <xf numFmtId="165" fontId="4" fillId="13" borderId="18" xfId="0" applyNumberFormat="1" applyFont="1" applyFill="1" applyBorder="1" applyAlignment="1">
      <alignment horizontal="center" vertical="center" wrapText="1"/>
    </xf>
    <xf numFmtId="0" fontId="41" fillId="17" borderId="11" xfId="0" applyFont="1" applyFill="1" applyBorder="1" applyAlignment="1">
      <alignment horizontal="center" vertical="center"/>
    </xf>
    <xf numFmtId="0" fontId="27" fillId="17" borderId="11" xfId="0" applyFont="1" applyFill="1" applyBorder="1" applyAlignment="1">
      <alignment vertical="center"/>
    </xf>
    <xf numFmtId="0" fontId="4" fillId="17" borderId="11" xfId="0" applyFont="1" applyFill="1" applyBorder="1" applyAlignment="1">
      <alignment horizontal="center" vertical="center" wrapText="1"/>
    </xf>
    <xf numFmtId="0" fontId="4" fillId="17" borderId="40" xfId="0" applyFont="1" applyFill="1" applyBorder="1" applyAlignment="1">
      <alignment horizontal="center" vertical="center" wrapText="1"/>
    </xf>
    <xf numFmtId="0" fontId="4" fillId="17" borderId="41" xfId="0" applyFont="1" applyFill="1" applyBorder="1" applyAlignment="1">
      <alignment horizontal="center" vertical="center" wrapText="1"/>
    </xf>
    <xf numFmtId="0" fontId="4" fillId="18" borderId="42" xfId="0" applyFont="1" applyFill="1" applyBorder="1" applyAlignment="1">
      <alignment horizontal="center" vertical="center" wrapText="1"/>
    </xf>
    <xf numFmtId="0" fontId="2" fillId="17" borderId="11" xfId="0" applyFont="1" applyFill="1" applyBorder="1" applyAlignment="1">
      <alignment vertical="justify" wrapText="1"/>
    </xf>
    <xf numFmtId="165" fontId="4" fillId="17" borderId="11" xfId="1" applyFont="1" applyFill="1" applyBorder="1" applyAlignment="1">
      <alignment horizontal="center" vertical="center" wrapText="1"/>
    </xf>
    <xf numFmtId="165" fontId="4" fillId="17" borderId="39" xfId="0" applyNumberFormat="1" applyFont="1" applyFill="1" applyBorder="1" applyAlignment="1">
      <alignment horizontal="center" vertical="center" wrapText="1"/>
    </xf>
    <xf numFmtId="165" fontId="4" fillId="17" borderId="11" xfId="0" applyNumberFormat="1" applyFont="1" applyFill="1" applyBorder="1" applyAlignment="1">
      <alignment horizontal="center" vertical="center" wrapText="1"/>
    </xf>
    <xf numFmtId="165" fontId="4" fillId="17" borderId="40" xfId="0" applyNumberFormat="1" applyFont="1" applyFill="1" applyBorder="1" applyAlignment="1">
      <alignment horizontal="center" vertical="center" wrapText="1"/>
    </xf>
    <xf numFmtId="165" fontId="4" fillId="17" borderId="42" xfId="0" applyNumberFormat="1" applyFont="1" applyFill="1" applyBorder="1" applyAlignment="1">
      <alignment horizontal="center" vertical="center" wrapText="1"/>
    </xf>
    <xf numFmtId="165" fontId="4" fillId="17" borderId="38" xfId="0" applyNumberFormat="1" applyFont="1" applyFill="1" applyBorder="1" applyAlignment="1">
      <alignment horizontal="center" vertical="center" wrapText="1"/>
    </xf>
    <xf numFmtId="165" fontId="4" fillId="17" borderId="37" xfId="0" applyNumberFormat="1" applyFont="1" applyFill="1" applyBorder="1" applyAlignment="1">
      <alignment horizontal="center" vertical="center" wrapText="1"/>
    </xf>
    <xf numFmtId="164" fontId="4" fillId="17" borderId="11" xfId="0" applyNumberFormat="1" applyFont="1" applyFill="1" applyBorder="1" applyAlignment="1">
      <alignment horizontal="center" vertical="center" wrapText="1"/>
    </xf>
    <xf numFmtId="0" fontId="41" fillId="17" borderId="2" xfId="0" applyFont="1" applyFill="1" applyBorder="1" applyAlignment="1">
      <alignment horizontal="center" vertical="center"/>
    </xf>
    <xf numFmtId="0" fontId="27" fillId="17" borderId="2" xfId="0" applyFont="1" applyFill="1" applyBorder="1" applyAlignment="1">
      <alignment vertical="center"/>
    </xf>
    <xf numFmtId="0" fontId="4" fillId="17" borderId="2" xfId="0" applyFont="1" applyFill="1" applyBorder="1" applyAlignment="1">
      <alignment horizontal="center" vertical="center" wrapText="1"/>
    </xf>
    <xf numFmtId="0" fontId="4" fillId="17" borderId="43" xfId="0" applyFont="1" applyFill="1" applyBorder="1" applyAlignment="1">
      <alignment horizontal="center" vertical="center" wrapText="1"/>
    </xf>
    <xf numFmtId="0" fontId="4" fillId="17" borderId="44" xfId="0" applyFont="1" applyFill="1" applyBorder="1" applyAlignment="1">
      <alignment horizontal="center" vertical="center" wrapText="1"/>
    </xf>
    <xf numFmtId="0" fontId="4" fillId="18" borderId="45" xfId="0" applyFont="1" applyFill="1" applyBorder="1" applyAlignment="1">
      <alignment horizontal="center" vertical="center" wrapText="1"/>
    </xf>
    <xf numFmtId="0" fontId="0" fillId="17" borderId="0" xfId="0" applyFill="1"/>
    <xf numFmtId="165" fontId="4" fillId="17" borderId="2" xfId="1" applyFont="1" applyFill="1" applyBorder="1" applyAlignment="1">
      <alignment horizontal="center" vertical="center" wrapText="1"/>
    </xf>
    <xf numFmtId="165" fontId="4" fillId="17" borderId="29" xfId="0" applyNumberFormat="1" applyFont="1" applyFill="1" applyBorder="1" applyAlignment="1">
      <alignment horizontal="center" vertical="center" wrapText="1"/>
    </xf>
    <xf numFmtId="165" fontId="4" fillId="17" borderId="2" xfId="0" applyNumberFormat="1" applyFont="1" applyFill="1" applyBorder="1" applyAlignment="1">
      <alignment horizontal="center" vertical="center" wrapText="1"/>
    </xf>
    <xf numFmtId="165" fontId="4" fillId="17" borderId="43" xfId="0" applyNumberFormat="1" applyFont="1" applyFill="1" applyBorder="1" applyAlignment="1">
      <alignment horizontal="center" vertical="center" wrapText="1"/>
    </xf>
    <xf numFmtId="165" fontId="4" fillId="17" borderId="45" xfId="0" applyNumberFormat="1" applyFont="1" applyFill="1" applyBorder="1" applyAlignment="1">
      <alignment horizontal="center" vertical="center" wrapText="1"/>
    </xf>
    <xf numFmtId="165" fontId="4" fillId="17" borderId="7" xfId="0" applyNumberFormat="1" applyFont="1" applyFill="1" applyBorder="1" applyAlignment="1">
      <alignment horizontal="center" vertical="center" wrapText="1"/>
    </xf>
    <xf numFmtId="165" fontId="4" fillId="17" borderId="18" xfId="0" applyNumberFormat="1" applyFont="1" applyFill="1" applyBorder="1" applyAlignment="1">
      <alignment horizontal="center" vertical="center" wrapText="1"/>
    </xf>
    <xf numFmtId="164" fontId="4" fillId="17" borderId="2" xfId="0" applyNumberFormat="1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center"/>
    </xf>
    <xf numFmtId="0" fontId="4" fillId="17" borderId="11" xfId="0" applyFont="1" applyFill="1" applyBorder="1" applyAlignment="1">
      <alignment horizontal="left" vertical="center"/>
    </xf>
    <xf numFmtId="165" fontId="4" fillId="17" borderId="38" xfId="1" applyFont="1" applyFill="1" applyBorder="1" applyAlignment="1">
      <alignment horizontal="center" vertical="center" wrapText="1"/>
    </xf>
    <xf numFmtId="164" fontId="4" fillId="17" borderId="11" xfId="0" applyNumberFormat="1" applyFont="1" applyFill="1" applyBorder="1" applyAlignment="1">
      <alignment horizontal="right" vertical="center" wrapText="1"/>
    </xf>
    <xf numFmtId="164" fontId="4" fillId="17" borderId="38" xfId="0" applyNumberFormat="1" applyFont="1" applyFill="1" applyBorder="1" applyAlignment="1">
      <alignment horizontal="center" vertical="center" wrapText="1"/>
    </xf>
    <xf numFmtId="164" fontId="4" fillId="17" borderId="37" xfId="0" applyNumberFormat="1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left" vertical="center"/>
    </xf>
    <xf numFmtId="165" fontId="4" fillId="17" borderId="7" xfId="1" applyFont="1" applyFill="1" applyBorder="1" applyAlignment="1">
      <alignment horizontal="center" vertical="center" wrapText="1"/>
    </xf>
    <xf numFmtId="164" fontId="4" fillId="17" borderId="2" xfId="0" applyNumberFormat="1" applyFont="1" applyFill="1" applyBorder="1" applyAlignment="1">
      <alignment horizontal="right" vertical="center" wrapText="1"/>
    </xf>
    <xf numFmtId="164" fontId="4" fillId="17" borderId="7" xfId="0" applyNumberFormat="1" applyFont="1" applyFill="1" applyBorder="1" applyAlignment="1">
      <alignment horizontal="center" vertical="center" wrapText="1"/>
    </xf>
    <xf numFmtId="164" fontId="4" fillId="17" borderId="18" xfId="0" applyNumberFormat="1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/>
    </xf>
    <xf numFmtId="0" fontId="4" fillId="15" borderId="40" xfId="0" applyFont="1" applyFill="1" applyBorder="1" applyAlignment="1">
      <alignment horizontal="center" vertical="center" wrapText="1"/>
    </xf>
    <xf numFmtId="0" fontId="4" fillId="15" borderId="41" xfId="0" applyFont="1" applyFill="1" applyBorder="1" applyAlignment="1">
      <alignment horizontal="center" vertical="center" wrapText="1"/>
    </xf>
    <xf numFmtId="0" fontId="4" fillId="16" borderId="42" xfId="0" applyFont="1" applyFill="1" applyBorder="1" applyAlignment="1">
      <alignment horizontal="center" vertical="center" wrapText="1"/>
    </xf>
    <xf numFmtId="164" fontId="4" fillId="15" borderId="11" xfId="0" applyNumberFormat="1" applyFont="1" applyFill="1" applyBorder="1" applyAlignment="1">
      <alignment horizontal="right" vertical="center" wrapText="1"/>
    </xf>
    <xf numFmtId="164" fontId="4" fillId="15" borderId="38" xfId="0" applyNumberFormat="1" applyFont="1" applyFill="1" applyBorder="1" applyAlignment="1">
      <alignment horizontal="center" vertical="center" wrapText="1"/>
    </xf>
    <xf numFmtId="164" fontId="4" fillId="15" borderId="37" xfId="0" applyNumberFormat="1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 wrapText="1"/>
    </xf>
    <xf numFmtId="0" fontId="4" fillId="15" borderId="44" xfId="0" applyFont="1" applyFill="1" applyBorder="1" applyAlignment="1">
      <alignment horizontal="center" vertical="center" wrapText="1"/>
    </xf>
    <xf numFmtId="0" fontId="4" fillId="16" borderId="45" xfId="0" applyFont="1" applyFill="1" applyBorder="1" applyAlignment="1">
      <alignment horizontal="center" vertical="center" wrapText="1"/>
    </xf>
    <xf numFmtId="164" fontId="4" fillId="15" borderId="2" xfId="0" applyNumberFormat="1" applyFont="1" applyFill="1" applyBorder="1" applyAlignment="1">
      <alignment horizontal="right" vertical="center" wrapText="1"/>
    </xf>
    <xf numFmtId="164" fontId="4" fillId="15" borderId="7" xfId="0" applyNumberFormat="1" applyFont="1" applyFill="1" applyBorder="1" applyAlignment="1">
      <alignment horizontal="center" vertical="center" wrapText="1"/>
    </xf>
    <xf numFmtId="164" fontId="4" fillId="15" borderId="18" xfId="0" applyNumberFormat="1" applyFont="1" applyFill="1" applyBorder="1" applyAlignment="1">
      <alignment horizontal="center" vertical="center" wrapText="1"/>
    </xf>
    <xf numFmtId="0" fontId="4" fillId="15" borderId="46" xfId="0" applyFont="1" applyFill="1" applyBorder="1" applyAlignment="1">
      <alignment horizontal="center" vertical="center"/>
    </xf>
    <xf numFmtId="0" fontId="4" fillId="15" borderId="47" xfId="0" applyFont="1" applyFill="1" applyBorder="1" applyAlignment="1">
      <alignment horizontal="left" vertical="center"/>
    </xf>
    <xf numFmtId="0" fontId="4" fillId="15" borderId="48" xfId="0" applyFont="1" applyFill="1" applyBorder="1" applyAlignment="1">
      <alignment horizontal="center" vertical="center"/>
    </xf>
    <xf numFmtId="0" fontId="4" fillId="15" borderId="49" xfId="0" applyFont="1" applyFill="1" applyBorder="1" applyAlignment="1">
      <alignment horizontal="left" vertical="center"/>
    </xf>
    <xf numFmtId="0" fontId="4" fillId="13" borderId="11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left" vertical="center"/>
    </xf>
    <xf numFmtId="164" fontId="4" fillId="13" borderId="38" xfId="0" applyNumberFormat="1" applyFont="1" applyFill="1" applyBorder="1" applyAlignment="1">
      <alignment horizontal="center" vertical="center" wrapText="1"/>
    </xf>
    <xf numFmtId="164" fontId="4" fillId="13" borderId="37" xfId="0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left" vertical="center"/>
    </xf>
    <xf numFmtId="165" fontId="4" fillId="13" borderId="7" xfId="1" applyFont="1" applyFill="1" applyBorder="1" applyAlignment="1">
      <alignment horizontal="center" vertical="center" wrapText="1"/>
    </xf>
    <xf numFmtId="164" fontId="4" fillId="13" borderId="2" xfId="0" applyNumberFormat="1" applyFont="1" applyFill="1" applyBorder="1" applyAlignment="1">
      <alignment horizontal="right" vertical="center" wrapText="1"/>
    </xf>
    <xf numFmtId="164" fontId="4" fillId="13" borderId="7" xfId="0" applyNumberFormat="1" applyFont="1" applyFill="1" applyBorder="1" applyAlignment="1">
      <alignment horizontal="center" vertical="center" wrapText="1"/>
    </xf>
    <xf numFmtId="164" fontId="4" fillId="13" borderId="18" xfId="0" applyNumberFormat="1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vertical="center"/>
    </xf>
    <xf numFmtId="0" fontId="4" fillId="18" borderId="11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vertical="center"/>
    </xf>
    <xf numFmtId="0" fontId="4" fillId="18" borderId="2" xfId="0" applyFont="1" applyFill="1" applyBorder="1" applyAlignment="1">
      <alignment horizontal="center" vertical="center" wrapText="1"/>
    </xf>
    <xf numFmtId="165" fontId="4" fillId="15" borderId="17" xfId="0" applyNumberFormat="1" applyFont="1" applyFill="1" applyBorder="1" applyAlignment="1">
      <alignment horizontal="center" vertical="center" wrapText="1"/>
    </xf>
    <xf numFmtId="165" fontId="4" fillId="15" borderId="1" xfId="0" applyNumberFormat="1" applyFont="1" applyFill="1" applyBorder="1" applyAlignment="1">
      <alignment horizontal="center" vertical="center" wrapText="1"/>
    </xf>
    <xf numFmtId="165" fontId="4" fillId="15" borderId="4" xfId="0" applyNumberFormat="1" applyFont="1" applyFill="1" applyBorder="1" applyAlignment="1">
      <alignment horizontal="center" vertical="center" wrapText="1"/>
    </xf>
    <xf numFmtId="0" fontId="0" fillId="15" borderId="2" xfId="0" applyFill="1" applyBorder="1"/>
    <xf numFmtId="165" fontId="4" fillId="13" borderId="17" xfId="0" applyNumberFormat="1" applyFont="1" applyFill="1" applyBorder="1" applyAlignment="1">
      <alignment horizontal="center" vertical="center" wrapText="1"/>
    </xf>
    <xf numFmtId="165" fontId="4" fillId="13" borderId="1" xfId="0" applyNumberFormat="1" applyFont="1" applyFill="1" applyBorder="1" applyAlignment="1">
      <alignment horizontal="center" vertical="center" wrapText="1"/>
    </xf>
    <xf numFmtId="165" fontId="4" fillId="13" borderId="4" xfId="0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vertical="center"/>
    </xf>
    <xf numFmtId="0" fontId="4" fillId="14" borderId="2" xfId="0" applyFont="1" applyFill="1" applyBorder="1" applyAlignment="1">
      <alignment horizontal="center" vertical="center" wrapText="1"/>
    </xf>
    <xf numFmtId="0" fontId="0" fillId="13" borderId="2" xfId="0" applyFill="1" applyBorder="1"/>
    <xf numFmtId="164" fontId="4" fillId="15" borderId="27" xfId="0" applyNumberFormat="1" applyFont="1" applyFill="1" applyBorder="1" applyAlignment="1">
      <alignment horizontal="center" vertical="center" wrapText="1"/>
    </xf>
    <xf numFmtId="165" fontId="4" fillId="17" borderId="17" xfId="0" applyNumberFormat="1" applyFont="1" applyFill="1" applyBorder="1" applyAlignment="1">
      <alignment horizontal="center" vertical="center" wrapText="1"/>
    </xf>
    <xf numFmtId="165" fontId="4" fillId="17" borderId="1" xfId="0" applyNumberFormat="1" applyFont="1" applyFill="1" applyBorder="1" applyAlignment="1">
      <alignment horizontal="center" vertical="center" wrapText="1"/>
    </xf>
    <xf numFmtId="164" fontId="4" fillId="17" borderId="1" xfId="0" applyNumberFormat="1" applyFont="1" applyFill="1" applyBorder="1" applyAlignment="1">
      <alignment horizontal="right" vertical="center" wrapText="1"/>
    </xf>
    <xf numFmtId="165" fontId="4" fillId="17" borderId="4" xfId="0" applyNumberFormat="1" applyFont="1" applyFill="1" applyBorder="1" applyAlignment="1">
      <alignment horizontal="center" vertical="center" wrapText="1"/>
    </xf>
    <xf numFmtId="164" fontId="4" fillId="13" borderId="1" xfId="0" applyNumberFormat="1" applyFont="1" applyFill="1" applyBorder="1" applyAlignment="1">
      <alignment horizontal="right" vertical="center" wrapText="1"/>
    </xf>
    <xf numFmtId="165" fontId="4" fillId="15" borderId="15" xfId="0" applyNumberFormat="1" applyFont="1" applyFill="1" applyBorder="1" applyAlignment="1">
      <alignment horizontal="center" vertical="center" wrapText="1"/>
    </xf>
    <xf numFmtId="164" fontId="4" fillId="15" borderId="1" xfId="0" applyNumberFormat="1" applyFont="1" applyFill="1" applyBorder="1" applyAlignment="1">
      <alignment horizontal="right" vertical="center" wrapText="1"/>
    </xf>
    <xf numFmtId="0" fontId="4" fillId="17" borderId="38" xfId="0" applyFont="1" applyFill="1" applyBorder="1" applyAlignment="1">
      <alignment horizontal="center" vertical="center"/>
    </xf>
    <xf numFmtId="0" fontId="4" fillId="17" borderId="7" xfId="0" applyFont="1" applyFill="1" applyBorder="1" applyAlignment="1">
      <alignment horizontal="center" vertical="center"/>
    </xf>
    <xf numFmtId="9" fontId="4" fillId="17" borderId="2" xfId="0" applyNumberFormat="1" applyFont="1" applyFill="1" applyBorder="1" applyAlignment="1">
      <alignment horizontal="center" vertical="center" wrapText="1"/>
    </xf>
    <xf numFmtId="0" fontId="4" fillId="13" borderId="38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164" fontId="4" fillId="13" borderId="27" xfId="0" applyNumberFormat="1" applyFont="1" applyFill="1" applyBorder="1" applyAlignment="1">
      <alignment horizontal="center" vertical="center" wrapText="1"/>
    </xf>
    <xf numFmtId="0" fontId="4" fillId="17" borderId="38" xfId="0" applyFont="1" applyFill="1" applyBorder="1" applyAlignment="1">
      <alignment vertical="center" wrapText="1"/>
    </xf>
    <xf numFmtId="0" fontId="17" fillId="18" borderId="41" xfId="0" applyFont="1" applyFill="1" applyBorder="1" applyAlignment="1">
      <alignment horizontal="center" vertical="center" wrapText="1"/>
    </xf>
    <xf numFmtId="0" fontId="17" fillId="17" borderId="47" xfId="0" applyFont="1" applyFill="1" applyBorder="1" applyAlignment="1">
      <alignment horizontal="center" vertical="center" wrapText="1"/>
    </xf>
    <xf numFmtId="0" fontId="17" fillId="17" borderId="11" xfId="0" applyFont="1" applyFill="1" applyBorder="1" applyAlignment="1">
      <alignment horizontal="center" vertical="center" wrapText="1"/>
    </xf>
    <xf numFmtId="0" fontId="4" fillId="17" borderId="7" xfId="0" applyFont="1" applyFill="1" applyBorder="1" applyAlignment="1">
      <alignment vertical="center" wrapText="1"/>
    </xf>
    <xf numFmtId="165" fontId="4" fillId="17" borderId="3" xfId="1" applyFont="1" applyFill="1" applyBorder="1" applyAlignment="1">
      <alignment horizontal="center" vertical="center" wrapText="1"/>
    </xf>
    <xf numFmtId="165" fontId="4" fillId="17" borderId="3" xfId="0" applyNumberFormat="1" applyFont="1" applyFill="1" applyBorder="1" applyAlignment="1">
      <alignment horizontal="center" vertical="center" wrapText="1"/>
    </xf>
    <xf numFmtId="165" fontId="4" fillId="17" borderId="8" xfId="0" applyNumberFormat="1" applyFont="1" applyFill="1" applyBorder="1" applyAlignment="1">
      <alignment horizontal="center" vertical="center" wrapText="1"/>
    </xf>
    <xf numFmtId="165" fontId="4" fillId="17" borderId="27" xfId="0" applyNumberFormat="1" applyFont="1" applyFill="1" applyBorder="1" applyAlignment="1">
      <alignment horizontal="center" vertical="center" wrapText="1"/>
    </xf>
    <xf numFmtId="165" fontId="4" fillId="17" borderId="28" xfId="0" applyNumberFormat="1" applyFont="1" applyFill="1" applyBorder="1" applyAlignment="1">
      <alignment horizontal="center" vertical="center" wrapText="1"/>
    </xf>
    <xf numFmtId="164" fontId="4" fillId="17" borderId="27" xfId="0" applyNumberFormat="1" applyFont="1" applyFill="1" applyBorder="1" applyAlignment="1">
      <alignment horizontal="center" vertical="center" wrapText="1"/>
    </xf>
    <xf numFmtId="0" fontId="17" fillId="16" borderId="41" xfId="0" applyFont="1" applyFill="1" applyBorder="1" applyAlignment="1">
      <alignment horizontal="center" vertical="center" wrapText="1"/>
    </xf>
    <xf numFmtId="0" fontId="17" fillId="15" borderId="47" xfId="0" applyFont="1" applyFill="1" applyBorder="1" applyAlignment="1">
      <alignment horizontal="center" vertical="center" wrapText="1"/>
    </xf>
    <xf numFmtId="0" fontId="17" fillId="15" borderId="11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vertical="center" wrapText="1"/>
    </xf>
    <xf numFmtId="0" fontId="17" fillId="16" borderId="44" xfId="0" applyFont="1" applyFill="1" applyBorder="1" applyAlignment="1">
      <alignment horizontal="center" vertical="center" wrapText="1"/>
    </xf>
    <xf numFmtId="0" fontId="17" fillId="15" borderId="49" xfId="0" applyFont="1" applyFill="1" applyBorder="1" applyAlignment="1">
      <alignment horizontal="center" vertical="center" wrapText="1"/>
    </xf>
    <xf numFmtId="0" fontId="0" fillId="15" borderId="6" xfId="0" applyFill="1" applyBorder="1"/>
    <xf numFmtId="165" fontId="4" fillId="15" borderId="3" xfId="0" applyNumberFormat="1" applyFont="1" applyFill="1" applyBorder="1" applyAlignment="1">
      <alignment horizontal="center" vertical="center" wrapText="1"/>
    </xf>
    <xf numFmtId="0" fontId="4" fillId="13" borderId="38" xfId="0" applyFont="1" applyFill="1" applyBorder="1" applyAlignment="1">
      <alignment vertical="center" wrapText="1"/>
    </xf>
    <xf numFmtId="0" fontId="17" fillId="14" borderId="41" xfId="0" applyFont="1" applyFill="1" applyBorder="1" applyAlignment="1">
      <alignment horizontal="center" vertical="center" wrapText="1"/>
    </xf>
    <xf numFmtId="0" fontId="17" fillId="13" borderId="47" xfId="0" applyFont="1" applyFill="1" applyBorder="1" applyAlignment="1">
      <alignment horizontal="center" vertical="center" wrapText="1"/>
    </xf>
    <xf numFmtId="0" fontId="17" fillId="13" borderId="11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vertical="center" wrapText="1"/>
    </xf>
    <xf numFmtId="0" fontId="17" fillId="14" borderId="44" xfId="0" applyFont="1" applyFill="1" applyBorder="1" applyAlignment="1">
      <alignment horizontal="center" vertical="center" wrapText="1"/>
    </xf>
    <xf numFmtId="0" fontId="17" fillId="13" borderId="49" xfId="0" applyFont="1" applyFill="1" applyBorder="1" applyAlignment="1">
      <alignment horizontal="center" vertical="center" wrapText="1"/>
    </xf>
    <xf numFmtId="0" fontId="0" fillId="13" borderId="6" xfId="0" applyFill="1" applyBorder="1"/>
    <xf numFmtId="0" fontId="15" fillId="15" borderId="11" xfId="0" applyFont="1" applyFill="1" applyBorder="1" applyAlignment="1">
      <alignment horizontal="center" vertical="center" wrapText="1"/>
    </xf>
    <xf numFmtId="0" fontId="15" fillId="15" borderId="38" xfId="0" applyFont="1" applyFill="1" applyBorder="1" applyAlignment="1">
      <alignment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5" borderId="7" xfId="0" applyFont="1" applyFill="1" applyBorder="1" applyAlignment="1">
      <alignment vertical="center" wrapText="1"/>
    </xf>
    <xf numFmtId="0" fontId="17" fillId="18" borderId="44" xfId="0" applyFont="1" applyFill="1" applyBorder="1" applyAlignment="1">
      <alignment horizontal="center" vertical="center" wrapText="1"/>
    </xf>
    <xf numFmtId="0" fontId="17" fillId="17" borderId="49" xfId="0" applyFont="1" applyFill="1" applyBorder="1" applyAlignment="1">
      <alignment horizontal="center" vertical="center" wrapText="1"/>
    </xf>
    <xf numFmtId="0" fontId="17" fillId="18" borderId="11" xfId="0" applyFont="1" applyFill="1" applyBorder="1" applyAlignment="1">
      <alignment horizontal="center" vertical="center" wrapText="1"/>
    </xf>
    <xf numFmtId="0" fontId="17" fillId="18" borderId="2" xfId="0" applyFont="1" applyFill="1" applyBorder="1" applyAlignment="1">
      <alignment horizontal="center" vertical="center" wrapText="1"/>
    </xf>
    <xf numFmtId="0" fontId="17" fillId="17" borderId="2" xfId="0" applyFont="1" applyFill="1" applyBorder="1" applyAlignment="1">
      <alignment horizontal="center" vertical="center" wrapText="1"/>
    </xf>
    <xf numFmtId="0" fontId="17" fillId="14" borderId="11" xfId="0" applyFont="1" applyFill="1" applyBorder="1" applyAlignment="1">
      <alignment horizontal="center" vertical="center" wrapText="1"/>
    </xf>
    <xf numFmtId="165" fontId="4" fillId="13" borderId="15" xfId="1" applyFont="1" applyFill="1" applyBorder="1" applyAlignment="1">
      <alignment horizontal="center" vertical="center" wrapText="1"/>
    </xf>
    <xf numFmtId="165" fontId="4" fillId="13" borderId="25" xfId="0" applyNumberFormat="1" applyFont="1" applyFill="1" applyBorder="1" applyAlignment="1">
      <alignment horizontal="center" vertical="center" wrapText="1"/>
    </xf>
    <xf numFmtId="165" fontId="4" fillId="13" borderId="26" xfId="0" applyNumberFormat="1" applyFont="1" applyFill="1" applyBorder="1" applyAlignment="1">
      <alignment horizontal="center" vertical="center" wrapText="1"/>
    </xf>
    <xf numFmtId="165" fontId="4" fillId="13" borderId="15" xfId="0" applyNumberFormat="1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17" fillId="13" borderId="2" xfId="0" applyFont="1" applyFill="1" applyBorder="1" applyAlignment="1">
      <alignment horizontal="center" vertical="center" wrapText="1"/>
    </xf>
    <xf numFmtId="0" fontId="0" fillId="13" borderId="20" xfId="0" applyFill="1" applyBorder="1"/>
    <xf numFmtId="0" fontId="17" fillId="16" borderId="11" xfId="0" applyFont="1" applyFill="1" applyBorder="1" applyAlignment="1">
      <alignment horizontal="center" vertical="center" wrapText="1"/>
    </xf>
    <xf numFmtId="0" fontId="17" fillId="16" borderId="2" xfId="0" applyFont="1" applyFill="1" applyBorder="1" applyAlignment="1">
      <alignment horizontal="center" vertical="center" wrapText="1"/>
    </xf>
    <xf numFmtId="0" fontId="17" fillId="15" borderId="2" xfId="0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left" vertical="center" wrapText="1"/>
    </xf>
    <xf numFmtId="0" fontId="4" fillId="17" borderId="11" xfId="0" applyFont="1" applyFill="1" applyBorder="1" applyAlignment="1">
      <alignment horizontal="center" wrapText="1"/>
    </xf>
    <xf numFmtId="165" fontId="4" fillId="17" borderId="11" xfId="0" applyNumberFormat="1" applyFont="1" applyFill="1" applyBorder="1" applyAlignment="1">
      <alignment horizontal="center" wrapText="1"/>
    </xf>
    <xf numFmtId="0" fontId="4" fillId="17" borderId="2" xfId="0" applyFont="1" applyFill="1" applyBorder="1" applyAlignment="1">
      <alignment horizontal="left" vertical="center" wrapText="1"/>
    </xf>
    <xf numFmtId="0" fontId="4" fillId="17" borderId="2" xfId="0" applyFont="1" applyFill="1" applyBorder="1" applyAlignment="1">
      <alignment horizontal="center" wrapText="1"/>
    </xf>
    <xf numFmtId="0" fontId="4" fillId="15" borderId="11" xfId="0" applyFont="1" applyFill="1" applyBorder="1" applyAlignment="1">
      <alignment vertical="center" wrapText="1"/>
    </xf>
    <xf numFmtId="165" fontId="4" fillId="15" borderId="16" xfId="0" applyNumberFormat="1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vertical="center" wrapText="1"/>
    </xf>
    <xf numFmtId="0" fontId="4" fillId="13" borderId="11" xfId="0" applyFont="1" applyFill="1" applyBorder="1" applyAlignment="1">
      <alignment vertical="center" wrapText="1"/>
    </xf>
    <xf numFmtId="165" fontId="4" fillId="13" borderId="16" xfId="0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vertical="center" wrapText="1"/>
    </xf>
    <xf numFmtId="0" fontId="4" fillId="17" borderId="5" xfId="0" applyFont="1" applyFill="1" applyBorder="1" applyAlignment="1">
      <alignment horizontal="center" vertical="center" wrapText="1"/>
    </xf>
    <xf numFmtId="0" fontId="4" fillId="17" borderId="5" xfId="0" applyFont="1" applyFill="1" applyBorder="1" applyAlignment="1">
      <alignment horizontal="left" vertical="center" wrapText="1"/>
    </xf>
    <xf numFmtId="164" fontId="4" fillId="17" borderId="38" xfId="0" applyNumberFormat="1" applyFont="1" applyFill="1" applyBorder="1" applyAlignment="1">
      <alignment horizontal="right" vertical="center" wrapText="1"/>
    </xf>
    <xf numFmtId="0" fontId="4" fillId="17" borderId="48" xfId="0" applyFont="1" applyFill="1" applyBorder="1" applyAlignment="1">
      <alignment horizontal="center" vertical="center" wrapText="1"/>
    </xf>
    <xf numFmtId="0" fontId="4" fillId="17" borderId="44" xfId="0" applyFont="1" applyFill="1" applyBorder="1" applyAlignment="1">
      <alignment horizontal="left" vertical="center" wrapText="1"/>
    </xf>
    <xf numFmtId="0" fontId="4" fillId="17" borderId="6" xfId="0" applyFont="1" applyFill="1" applyBorder="1" applyAlignment="1">
      <alignment horizontal="center" wrapText="1"/>
    </xf>
    <xf numFmtId="0" fontId="4" fillId="18" borderId="6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 wrapText="1"/>
    </xf>
    <xf numFmtId="0" fontId="4" fillId="13" borderId="39" xfId="0" applyFont="1" applyFill="1" applyBorder="1" applyAlignment="1">
      <alignment horizontal="left" vertical="center" wrapText="1"/>
    </xf>
    <xf numFmtId="0" fontId="4" fillId="13" borderId="11" xfId="0" applyFont="1" applyFill="1" applyBorder="1" applyAlignment="1">
      <alignment horizontal="center" wrapText="1"/>
    </xf>
    <xf numFmtId="164" fontId="4" fillId="13" borderId="38" xfId="0" applyNumberFormat="1" applyFont="1" applyFill="1" applyBorder="1" applyAlignment="1">
      <alignment horizontal="right" vertical="center" wrapText="1"/>
    </xf>
    <xf numFmtId="0" fontId="4" fillId="13" borderId="29" xfId="0" applyFont="1" applyFill="1" applyBorder="1" applyAlignment="1">
      <alignment horizontal="left" vertical="center" wrapText="1"/>
    </xf>
    <xf numFmtId="0" fontId="4" fillId="13" borderId="2" xfId="0" applyFont="1" applyFill="1" applyBorder="1" applyAlignment="1">
      <alignment horizontal="center" wrapText="1"/>
    </xf>
    <xf numFmtId="0" fontId="0" fillId="13" borderId="19" xfId="0" applyFill="1" applyBorder="1"/>
    <xf numFmtId="0" fontId="4" fillId="17" borderId="37" xfId="0" applyFont="1" applyFill="1" applyBorder="1" applyAlignment="1">
      <alignment horizontal="left" vertical="center"/>
    </xf>
    <xf numFmtId="0" fontId="16" fillId="17" borderId="11" xfId="0" applyFont="1" applyFill="1" applyBorder="1" applyAlignment="1">
      <alignment horizontal="center" vertical="center" wrapText="1"/>
    </xf>
    <xf numFmtId="165" fontId="16" fillId="17" borderId="11" xfId="0" applyNumberFormat="1" applyFont="1" applyFill="1" applyBorder="1" applyAlignment="1">
      <alignment horizontal="center" vertical="center" wrapText="1"/>
    </xf>
    <xf numFmtId="0" fontId="4" fillId="17" borderId="18" xfId="0" applyFont="1" applyFill="1" applyBorder="1" applyAlignment="1">
      <alignment horizontal="left" vertical="center"/>
    </xf>
    <xf numFmtId="0" fontId="16" fillId="17" borderId="2" xfId="0" applyFont="1" applyFill="1" applyBorder="1" applyAlignment="1">
      <alignment horizontal="center" vertical="center" wrapText="1"/>
    </xf>
    <xf numFmtId="0" fontId="4" fillId="13" borderId="37" xfId="0" applyFont="1" applyFill="1" applyBorder="1" applyAlignment="1">
      <alignment horizontal="left" vertical="center"/>
    </xf>
    <xf numFmtId="0" fontId="16" fillId="13" borderId="11" xfId="0" applyFont="1" applyFill="1" applyBorder="1" applyAlignment="1">
      <alignment horizontal="center" vertical="center" wrapText="1"/>
    </xf>
    <xf numFmtId="165" fontId="16" fillId="13" borderId="11" xfId="0" applyNumberFormat="1" applyFont="1" applyFill="1" applyBorder="1" applyAlignment="1">
      <alignment horizontal="center" vertical="center" wrapText="1"/>
    </xf>
    <xf numFmtId="164" fontId="4" fillId="13" borderId="2" xfId="0" applyNumberFormat="1" applyFont="1" applyFill="1" applyBorder="1" applyAlignment="1">
      <alignment horizontal="center" vertical="center" wrapText="1"/>
    </xf>
    <xf numFmtId="164" fontId="4" fillId="9" borderId="15" xfId="0" applyNumberFormat="1" applyFont="1" applyFill="1" applyBorder="1" applyAlignment="1">
      <alignment horizontal="center" vertical="center" wrapText="1"/>
    </xf>
    <xf numFmtId="164" fontId="4" fillId="13" borderId="1" xfId="0" applyNumberFormat="1" applyFont="1" applyFill="1" applyBorder="1" applyAlignment="1">
      <alignment horizontal="center" vertical="center" wrapText="1"/>
    </xf>
    <xf numFmtId="164" fontId="4" fillId="15" borderId="1" xfId="0" applyNumberFormat="1" applyFont="1" applyFill="1" applyBorder="1" applyAlignment="1">
      <alignment horizontal="center" vertical="center" wrapText="1"/>
    </xf>
    <xf numFmtId="164" fontId="4" fillId="17" borderId="3" xfId="0" applyNumberFormat="1" applyFont="1" applyFill="1" applyBorder="1" applyAlignment="1">
      <alignment horizontal="center" vertical="center" wrapText="1"/>
    </xf>
    <xf numFmtId="164" fontId="4" fillId="13" borderId="15" xfId="0" applyNumberFormat="1" applyFont="1" applyFill="1" applyBorder="1" applyAlignment="1">
      <alignment horizontal="center" vertical="center" wrapText="1"/>
    </xf>
    <xf numFmtId="164" fontId="16" fillId="9" borderId="1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justify" vertical="center"/>
    </xf>
    <xf numFmtId="0" fontId="38" fillId="0" borderId="14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164" fontId="40" fillId="0" borderId="20" xfId="0" applyNumberFormat="1" applyFont="1" applyBorder="1" applyAlignment="1">
      <alignment horizontal="center" vertical="center" wrapText="1"/>
    </xf>
    <xf numFmtId="165" fontId="4" fillId="13" borderId="30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5" fontId="4" fillId="9" borderId="8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4" fillId="13" borderId="28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16" fillId="9" borderId="4" xfId="0" applyNumberFormat="1" applyFont="1" applyFill="1" applyBorder="1" applyAlignment="1">
      <alignment horizontal="center" vertical="center" wrapText="1"/>
    </xf>
    <xf numFmtId="165" fontId="16" fillId="9" borderId="7" xfId="0" applyNumberFormat="1" applyFont="1" applyFill="1" applyBorder="1" applyAlignment="1">
      <alignment horizontal="center" vertical="center" wrapText="1"/>
    </xf>
    <xf numFmtId="165" fontId="4" fillId="9" borderId="30" xfId="0" applyNumberFormat="1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15" borderId="8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wrapText="1"/>
    </xf>
    <xf numFmtId="165" fontId="4" fillId="9" borderId="38" xfId="0" applyNumberFormat="1" applyFont="1" applyFill="1" applyBorder="1" applyAlignment="1">
      <alignment horizontal="center" vertical="center" wrapText="1"/>
    </xf>
    <xf numFmtId="0" fontId="0" fillId="17" borderId="0" xfId="0" applyFill="1" applyProtection="1">
      <protection locked="0"/>
    </xf>
    <xf numFmtId="164" fontId="4" fillId="9" borderId="11" xfId="0" applyNumberFormat="1" applyFont="1" applyFill="1" applyBorder="1" applyAlignment="1">
      <alignment horizontal="center" vertical="center" wrapText="1"/>
    </xf>
    <xf numFmtId="0" fontId="17" fillId="19" borderId="3" xfId="0" applyFont="1" applyFill="1" applyBorder="1" applyAlignment="1">
      <alignment horizontal="center" vertical="center" wrapText="1"/>
    </xf>
    <xf numFmtId="0" fontId="17" fillId="19" borderId="1" xfId="0" applyFont="1" applyFill="1" applyBorder="1" applyAlignment="1">
      <alignment horizontal="center" vertical="center" wrapText="1"/>
    </xf>
    <xf numFmtId="0" fontId="4" fillId="19" borderId="15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0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2" fillId="11" borderId="0" xfId="0" applyFont="1" applyFill="1" applyBorder="1" applyAlignment="1"/>
    <xf numFmtId="164" fontId="4" fillId="9" borderId="9" xfId="0" applyNumberFormat="1" applyFont="1" applyFill="1" applyBorder="1" applyAlignment="1">
      <alignment horizontal="center" vertical="center" wrapText="1"/>
    </xf>
    <xf numFmtId="2" fontId="4" fillId="17" borderId="11" xfId="0" applyNumberFormat="1" applyFont="1" applyFill="1" applyBorder="1" applyAlignment="1">
      <alignment horizontal="center" vertical="center" wrapText="1"/>
    </xf>
    <xf numFmtId="2" fontId="4" fillId="17" borderId="2" xfId="0" applyNumberFormat="1" applyFont="1" applyFill="1" applyBorder="1" applyAlignment="1">
      <alignment horizontal="center" vertical="center" wrapText="1"/>
    </xf>
    <xf numFmtId="2" fontId="4" fillId="13" borderId="11" xfId="0" applyNumberFormat="1" applyFont="1" applyFill="1" applyBorder="1" applyAlignment="1">
      <alignment horizontal="center" vertical="center" wrapText="1"/>
    </xf>
    <xf numFmtId="2" fontId="4" fillId="15" borderId="11" xfId="0" applyNumberFormat="1" applyFont="1" applyFill="1" applyBorder="1" applyAlignment="1">
      <alignment horizontal="center" vertical="center" wrapText="1"/>
    </xf>
    <xf numFmtId="2" fontId="4" fillId="15" borderId="2" xfId="0" applyNumberFormat="1" applyFont="1" applyFill="1" applyBorder="1" applyAlignment="1">
      <alignment horizontal="center" vertical="center" wrapText="1"/>
    </xf>
    <xf numFmtId="2" fontId="4" fillId="9" borderId="15" xfId="0" applyNumberFormat="1" applyFont="1" applyFill="1" applyBorder="1" applyAlignment="1">
      <alignment horizontal="center" vertical="center" wrapText="1"/>
    </xf>
    <xf numFmtId="2" fontId="2" fillId="17" borderId="11" xfId="0" applyNumberFormat="1" applyFont="1" applyFill="1" applyBorder="1"/>
    <xf numFmtId="2" fontId="2" fillId="13" borderId="11" xfId="0" applyNumberFormat="1" applyFont="1" applyFill="1" applyBorder="1"/>
    <xf numFmtId="2" fontId="4" fillId="13" borderId="2" xfId="0" applyNumberFormat="1" applyFont="1" applyFill="1" applyBorder="1" applyAlignment="1">
      <alignment horizontal="center" vertical="center" wrapText="1"/>
    </xf>
    <xf numFmtId="2" fontId="4" fillId="9" borderId="2" xfId="0" applyNumberFormat="1" applyFont="1" applyFill="1" applyBorder="1" applyAlignment="1">
      <alignment horizontal="center" vertical="center" wrapText="1"/>
    </xf>
    <xf numFmtId="2" fontId="4" fillId="9" borderId="10" xfId="0" applyNumberFormat="1" applyFont="1" applyFill="1" applyBorder="1" applyAlignment="1">
      <alignment horizontal="center" vertical="center" wrapText="1"/>
    </xf>
    <xf numFmtId="2" fontId="4" fillId="9" borderId="3" xfId="0" applyNumberFormat="1" applyFont="1" applyFill="1" applyBorder="1" applyAlignment="1">
      <alignment horizontal="center" vertical="center" wrapText="1"/>
    </xf>
    <xf numFmtId="2" fontId="17" fillId="17" borderId="11" xfId="0" applyNumberFormat="1" applyFont="1" applyFill="1" applyBorder="1" applyAlignment="1">
      <alignment horizontal="center" vertical="center" wrapText="1"/>
    </xf>
    <xf numFmtId="2" fontId="4" fillId="17" borderId="3" xfId="0" applyNumberFormat="1" applyFont="1" applyFill="1" applyBorder="1" applyAlignment="1">
      <alignment horizontal="center" vertical="center" wrapText="1"/>
    </xf>
    <xf numFmtId="2" fontId="17" fillId="13" borderId="11" xfId="0" applyNumberFormat="1" applyFont="1" applyFill="1" applyBorder="1" applyAlignment="1">
      <alignment horizontal="center" vertical="center" wrapText="1"/>
    </xf>
    <xf numFmtId="2" fontId="17" fillId="15" borderId="11" xfId="0" applyNumberFormat="1" applyFont="1" applyFill="1" applyBorder="1" applyAlignment="1">
      <alignment horizontal="center" vertical="center" wrapText="1"/>
    </xf>
    <xf numFmtId="2" fontId="17" fillId="9" borderId="15" xfId="0" applyNumberFormat="1" applyFont="1" applyFill="1" applyBorder="1" applyAlignment="1">
      <alignment horizontal="center" vertical="center" wrapText="1"/>
    </xf>
    <xf numFmtId="2" fontId="17" fillId="9" borderId="1" xfId="0" applyNumberFormat="1" applyFont="1" applyFill="1" applyBorder="1" applyAlignment="1">
      <alignment horizontal="center" vertical="center" wrapText="1"/>
    </xf>
    <xf numFmtId="165" fontId="4" fillId="17" borderId="15" xfId="0" applyNumberFormat="1" applyFont="1" applyFill="1" applyBorder="1" applyAlignment="1">
      <alignment horizontal="center" vertical="center" wrapText="1"/>
    </xf>
    <xf numFmtId="0" fontId="42" fillId="4" borderId="19" xfId="0" applyFont="1" applyFill="1" applyBorder="1" applyAlignment="1">
      <alignment wrapText="1"/>
    </xf>
    <xf numFmtId="165" fontId="4" fillId="15" borderId="25" xfId="0" applyNumberFormat="1" applyFont="1" applyFill="1" applyBorder="1" applyAlignment="1">
      <alignment horizontal="center" vertical="center" wrapText="1"/>
    </xf>
    <xf numFmtId="0" fontId="28" fillId="21" borderId="22" xfId="0" applyFont="1" applyFill="1" applyBorder="1"/>
    <xf numFmtId="0" fontId="45" fillId="0" borderId="22" xfId="0" applyFont="1" applyBorder="1" applyAlignment="1">
      <alignment horizontal="center" vertical="center" wrapText="1"/>
    </xf>
    <xf numFmtId="0" fontId="46" fillId="0" borderId="22" xfId="0" applyFont="1" applyBorder="1"/>
    <xf numFmtId="165" fontId="2" fillId="0" borderId="16" xfId="1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165" fontId="4" fillId="15" borderId="9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9" borderId="37" xfId="0" applyNumberFormat="1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165" fontId="4" fillId="0" borderId="11" xfId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49" fontId="24" fillId="20" borderId="14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165" fontId="4" fillId="0" borderId="1" xfId="1" applyFont="1" applyFill="1" applyBorder="1" applyAlignment="1">
      <alignment horizontal="center" vertical="center" wrapText="1"/>
    </xf>
    <xf numFmtId="0" fontId="4" fillId="15" borderId="38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5" borderId="37" xfId="0" applyFont="1" applyFill="1" applyBorder="1" applyAlignment="1">
      <alignment horizontal="center" vertical="center" wrapText="1"/>
    </xf>
    <xf numFmtId="0" fontId="4" fillId="15" borderId="18" xfId="0" applyFont="1" applyFill="1" applyBorder="1" applyAlignment="1">
      <alignment horizontal="center" vertical="center" wrapText="1"/>
    </xf>
    <xf numFmtId="0" fontId="4" fillId="13" borderId="38" xfId="0" applyFont="1" applyFill="1" applyBorder="1" applyAlignment="1">
      <alignment horizontal="center" vertical="center" wrapText="1"/>
    </xf>
    <xf numFmtId="0" fontId="4" fillId="13" borderId="30" xfId="0" applyFont="1" applyFill="1" applyBorder="1" applyAlignment="1">
      <alignment horizontal="center" vertical="center" wrapText="1"/>
    </xf>
    <xf numFmtId="0" fontId="4" fillId="13" borderId="37" xfId="0" applyFont="1" applyFill="1" applyBorder="1" applyAlignment="1">
      <alignment horizontal="center" vertical="center" wrapText="1"/>
    </xf>
    <xf numFmtId="0" fontId="4" fillId="13" borderId="20" xfId="0" applyFont="1" applyFill="1" applyBorder="1" applyAlignment="1">
      <alignment horizontal="center" vertical="center" wrapText="1"/>
    </xf>
    <xf numFmtId="2" fontId="4" fillId="15" borderId="15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165" fontId="4" fillId="13" borderId="10" xfId="0" applyNumberFormat="1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5" fontId="4" fillId="13" borderId="26" xfId="1" applyFont="1" applyFill="1" applyBorder="1" applyAlignment="1">
      <alignment horizontal="center" vertical="center" wrapText="1"/>
    </xf>
    <xf numFmtId="165" fontId="4" fillId="17" borderId="26" xfId="1" applyFont="1" applyFill="1" applyBorder="1" applyAlignment="1">
      <alignment horizontal="center" vertical="center" wrapText="1"/>
    </xf>
    <xf numFmtId="165" fontId="4" fillId="15" borderId="26" xfId="1" applyFont="1" applyFill="1" applyBorder="1" applyAlignment="1">
      <alignment horizontal="center" vertical="center" wrapText="1"/>
    </xf>
    <xf numFmtId="0" fontId="28" fillId="15" borderId="22" xfId="0" applyFont="1" applyFill="1" applyBorder="1"/>
    <xf numFmtId="170" fontId="14" fillId="15" borderId="51" xfId="1" applyNumberFormat="1" applyFont="1" applyFill="1" applyBorder="1" applyAlignment="1">
      <alignment horizontal="center" vertical="center" wrapText="1"/>
    </xf>
    <xf numFmtId="0" fontId="28" fillId="15" borderId="22" xfId="0" applyFont="1" applyFill="1" applyBorder="1" applyAlignment="1">
      <alignment horizontal="left" vertical="top" wrapText="1"/>
    </xf>
    <xf numFmtId="165" fontId="4" fillId="0" borderId="22" xfId="0" applyNumberFormat="1" applyFont="1" applyFill="1" applyBorder="1" applyAlignment="1">
      <alignment horizontal="center" vertical="center" wrapText="1"/>
    </xf>
    <xf numFmtId="165" fontId="4" fillId="9" borderId="22" xfId="0" applyNumberFormat="1" applyFont="1" applyFill="1" applyBorder="1" applyAlignment="1">
      <alignment horizontal="center" vertical="center" wrapText="1"/>
    </xf>
    <xf numFmtId="168" fontId="4" fillId="0" borderId="2" xfId="0" applyNumberFormat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165" fontId="4" fillId="17" borderId="26" xfId="0" applyNumberFormat="1" applyFont="1" applyFill="1" applyBorder="1" applyAlignment="1">
      <alignment horizontal="center" vertical="center" wrapText="1"/>
    </xf>
    <xf numFmtId="165" fontId="4" fillId="0" borderId="26" xfId="1" applyFont="1" applyFill="1" applyBorder="1" applyAlignment="1">
      <alignment horizontal="center" vertical="center" wrapText="1"/>
    </xf>
    <xf numFmtId="164" fontId="4" fillId="17" borderId="1" xfId="0" applyNumberFormat="1" applyFont="1" applyFill="1" applyBorder="1" applyAlignment="1">
      <alignment horizontal="center" vertical="center" wrapText="1"/>
    </xf>
    <xf numFmtId="165" fontId="4" fillId="15" borderId="3" xfId="1" applyFont="1" applyFill="1" applyBorder="1" applyAlignment="1">
      <alignment horizontal="center" vertical="center" wrapText="1"/>
    </xf>
    <xf numFmtId="165" fontId="4" fillId="0" borderId="15" xfId="1" applyFont="1" applyFill="1" applyBorder="1" applyAlignment="1">
      <alignment horizontal="center" vertical="center" wrapText="1"/>
    </xf>
    <xf numFmtId="165" fontId="4" fillId="0" borderId="11" xfId="1" applyFont="1" applyFill="1" applyBorder="1" applyAlignment="1">
      <alignment horizontal="center" vertical="center" wrapText="1"/>
    </xf>
    <xf numFmtId="171" fontId="4" fillId="9" borderId="2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5" fontId="4" fillId="9" borderId="39" xfId="0" applyNumberFormat="1" applyFont="1" applyFill="1" applyBorder="1" applyAlignment="1">
      <alignment horizontal="center" vertical="center" wrapText="1"/>
    </xf>
    <xf numFmtId="165" fontId="4" fillId="9" borderId="19" xfId="0" applyNumberFormat="1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4" fillId="13" borderId="25" xfId="0" applyFont="1" applyFill="1" applyBorder="1" applyAlignment="1">
      <alignment vertical="center" wrapText="1"/>
    </xf>
    <xf numFmtId="0" fontId="4" fillId="13" borderId="63" xfId="0" applyFont="1" applyFill="1" applyBorder="1" applyAlignment="1">
      <alignment horizontal="center" vertical="center" wrapText="1"/>
    </xf>
    <xf numFmtId="0" fontId="4" fillId="13" borderId="62" xfId="0" applyFont="1" applyFill="1" applyBorder="1" applyAlignment="1">
      <alignment horizontal="center" vertical="center" wrapText="1"/>
    </xf>
    <xf numFmtId="0" fontId="17" fillId="14" borderId="62" xfId="0" applyFont="1" applyFill="1" applyBorder="1" applyAlignment="1">
      <alignment horizontal="center" vertical="center" wrapText="1"/>
    </xf>
    <xf numFmtId="0" fontId="17" fillId="13" borderId="36" xfId="0" applyFont="1" applyFill="1" applyBorder="1" applyAlignment="1">
      <alignment horizontal="center" vertical="center" wrapText="1"/>
    </xf>
    <xf numFmtId="2" fontId="17" fillId="13" borderId="15" xfId="0" applyNumberFormat="1" applyFont="1" applyFill="1" applyBorder="1" applyAlignment="1">
      <alignment horizontal="center" vertical="center" wrapText="1"/>
    </xf>
    <xf numFmtId="0" fontId="17" fillId="13" borderId="15" xfId="0" applyFont="1" applyFill="1" applyBorder="1" applyAlignment="1">
      <alignment horizontal="center" vertical="center" wrapText="1"/>
    </xf>
    <xf numFmtId="164" fontId="4" fillId="13" borderId="15" xfId="0" applyNumberFormat="1" applyFont="1" applyFill="1" applyBorder="1" applyAlignment="1">
      <alignment horizontal="right" vertical="center" wrapText="1"/>
    </xf>
    <xf numFmtId="0" fontId="0" fillId="17" borderId="19" xfId="0" applyFill="1" applyBorder="1"/>
    <xf numFmtId="164" fontId="4" fillId="13" borderId="26" xfId="0" applyNumberFormat="1" applyFont="1" applyFill="1" applyBorder="1" applyAlignment="1">
      <alignment horizontal="center" vertical="center" wrapText="1"/>
    </xf>
    <xf numFmtId="0" fontId="4" fillId="15" borderId="25" xfId="0" applyFont="1" applyFill="1" applyBorder="1" applyAlignment="1">
      <alignment vertical="center" wrapText="1"/>
    </xf>
    <xf numFmtId="0" fontId="4" fillId="15" borderId="15" xfId="0" applyFont="1" applyFill="1" applyBorder="1" applyAlignment="1">
      <alignment horizontal="center" vertical="center" wrapText="1"/>
    </xf>
    <xf numFmtId="0" fontId="4" fillId="15" borderId="63" xfId="0" applyFont="1" applyFill="1" applyBorder="1" applyAlignment="1">
      <alignment horizontal="center" vertical="center" wrapText="1"/>
    </xf>
    <xf numFmtId="0" fontId="4" fillId="15" borderId="62" xfId="0" applyFont="1" applyFill="1" applyBorder="1" applyAlignment="1">
      <alignment horizontal="center" vertical="center" wrapText="1"/>
    </xf>
    <xf numFmtId="0" fontId="17" fillId="16" borderId="62" xfId="0" applyFont="1" applyFill="1" applyBorder="1" applyAlignment="1">
      <alignment horizontal="center" vertical="center" wrapText="1"/>
    </xf>
    <xf numFmtId="0" fontId="17" fillId="15" borderId="36" xfId="0" applyFont="1" applyFill="1" applyBorder="1" applyAlignment="1">
      <alignment horizontal="center" vertical="center" wrapText="1"/>
    </xf>
    <xf numFmtId="2" fontId="17" fillId="15" borderId="15" xfId="0" applyNumberFormat="1" applyFont="1" applyFill="1" applyBorder="1" applyAlignment="1">
      <alignment horizontal="center" vertical="center" wrapText="1"/>
    </xf>
    <xf numFmtId="0" fontId="17" fillId="15" borderId="15" xfId="0" applyFont="1" applyFill="1" applyBorder="1" applyAlignment="1">
      <alignment horizontal="center" vertical="center" wrapText="1"/>
    </xf>
    <xf numFmtId="165" fontId="4" fillId="15" borderId="15" xfId="1" applyFont="1" applyFill="1" applyBorder="1" applyAlignment="1">
      <alignment horizontal="center" vertical="center" wrapText="1"/>
    </xf>
    <xf numFmtId="165" fontId="4" fillId="15" borderId="26" xfId="0" applyNumberFormat="1" applyFont="1" applyFill="1" applyBorder="1" applyAlignment="1">
      <alignment horizontal="center" vertical="center" wrapText="1"/>
    </xf>
    <xf numFmtId="164" fontId="4" fillId="15" borderId="15" xfId="0" applyNumberFormat="1" applyFont="1" applyFill="1" applyBorder="1" applyAlignment="1">
      <alignment horizontal="center" vertical="center" wrapText="1"/>
    </xf>
    <xf numFmtId="164" fontId="4" fillId="15" borderId="26" xfId="0" applyNumberFormat="1" applyFont="1" applyFill="1" applyBorder="1" applyAlignment="1">
      <alignment horizontal="center" vertical="center" wrapText="1"/>
    </xf>
    <xf numFmtId="165" fontId="4" fillId="15" borderId="32" xfId="0" applyNumberFormat="1" applyFont="1" applyFill="1" applyBorder="1" applyAlignment="1">
      <alignment horizontal="center" vertical="center" wrapText="1"/>
    </xf>
    <xf numFmtId="0" fontId="4" fillId="9" borderId="55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64" xfId="0" applyFont="1" applyFill="1" applyBorder="1" applyAlignment="1">
      <alignment horizontal="center" vertical="center" wrapText="1"/>
    </xf>
    <xf numFmtId="0" fontId="4" fillId="9" borderId="65" xfId="0" applyFont="1" applyFill="1" applyBorder="1" applyAlignment="1">
      <alignment horizontal="center" vertical="center" wrapText="1"/>
    </xf>
    <xf numFmtId="0" fontId="17" fillId="10" borderId="65" xfId="0" applyFont="1" applyFill="1" applyBorder="1" applyAlignment="1">
      <alignment horizontal="center" vertical="center" wrapText="1"/>
    </xf>
    <xf numFmtId="0" fontId="17" fillId="19" borderId="66" xfId="0" applyFont="1" applyFill="1" applyBorder="1" applyAlignment="1">
      <alignment horizontal="center" vertical="center" wrapText="1"/>
    </xf>
    <xf numFmtId="2" fontId="17" fillId="9" borderId="14" xfId="0" applyNumberFormat="1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165" fontId="4" fillId="0" borderId="14" xfId="1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165" fontId="4" fillId="0" borderId="31" xfId="1" applyFont="1" applyFill="1" applyBorder="1" applyAlignment="1">
      <alignment horizontal="center" vertical="center" wrapText="1"/>
    </xf>
    <xf numFmtId="165" fontId="4" fillId="9" borderId="31" xfId="0" applyNumberFormat="1" applyFont="1" applyFill="1" applyBorder="1" applyAlignment="1">
      <alignment horizontal="center" vertical="center" wrapText="1"/>
    </xf>
    <xf numFmtId="165" fontId="4" fillId="9" borderId="55" xfId="0" applyNumberFormat="1" applyFont="1" applyFill="1" applyBorder="1" applyAlignment="1">
      <alignment horizontal="center" vertical="center" wrapText="1"/>
    </xf>
    <xf numFmtId="164" fontId="4" fillId="9" borderId="14" xfId="0" applyNumberFormat="1" applyFont="1" applyFill="1" applyBorder="1" applyAlignment="1">
      <alignment horizontal="center" vertical="center" wrapText="1"/>
    </xf>
    <xf numFmtId="165" fontId="4" fillId="9" borderId="21" xfId="0" applyNumberFormat="1" applyFont="1" applyFill="1" applyBorder="1" applyAlignment="1">
      <alignment horizontal="center" vertical="center" wrapText="1"/>
    </xf>
    <xf numFmtId="165" fontId="4" fillId="15" borderId="30" xfId="0" applyNumberFormat="1" applyFont="1" applyFill="1" applyBorder="1" applyAlignment="1">
      <alignment horizontal="center" vertical="center" wrapText="1"/>
    </xf>
    <xf numFmtId="0" fontId="4" fillId="9" borderId="37" xfId="0" applyFont="1" applyFill="1" applyBorder="1" applyAlignment="1">
      <alignment vertical="center" wrapText="1"/>
    </xf>
    <xf numFmtId="0" fontId="4" fillId="9" borderId="38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17" fillId="19" borderId="5" xfId="0" applyFont="1" applyFill="1" applyBorder="1" applyAlignment="1">
      <alignment horizontal="center" vertical="center" wrapText="1"/>
    </xf>
    <xf numFmtId="2" fontId="17" fillId="9" borderId="5" xfId="0" applyNumberFormat="1" applyFont="1" applyFill="1" applyBorder="1" applyAlignment="1">
      <alignment horizontal="center" vertical="center" wrapText="1"/>
    </xf>
    <xf numFmtId="165" fontId="4" fillId="9" borderId="41" xfId="0" applyNumberFormat="1" applyFont="1" applyFill="1" applyBorder="1" applyAlignment="1">
      <alignment horizontal="center" vertical="center" wrapText="1"/>
    </xf>
    <xf numFmtId="165" fontId="4" fillId="9" borderId="44" xfId="0" applyNumberFormat="1" applyFont="1" applyFill="1" applyBorder="1" applyAlignment="1">
      <alignment horizontal="center" vertical="center" wrapText="1"/>
    </xf>
    <xf numFmtId="164" fontId="4" fillId="9" borderId="40" xfId="0" applyNumberFormat="1" applyFont="1" applyFill="1" applyBorder="1" applyAlignment="1">
      <alignment horizontal="center" vertical="center" wrapText="1"/>
    </xf>
    <xf numFmtId="164" fontId="4" fillId="9" borderId="51" xfId="0" applyNumberFormat="1" applyFont="1" applyFill="1" applyBorder="1" applyAlignment="1">
      <alignment horizontal="center" vertical="center" wrapText="1"/>
    </xf>
    <xf numFmtId="164" fontId="4" fillId="9" borderId="43" xfId="0" applyNumberFormat="1" applyFont="1" applyFill="1" applyBorder="1" applyAlignment="1">
      <alignment horizontal="center" vertical="center" wrapText="1"/>
    </xf>
    <xf numFmtId="165" fontId="4" fillId="9" borderId="42" xfId="0" applyNumberFormat="1" applyFont="1" applyFill="1" applyBorder="1" applyAlignment="1">
      <alignment horizontal="center" vertical="center" wrapText="1"/>
    </xf>
    <xf numFmtId="165" fontId="4" fillId="9" borderId="23" xfId="0" applyNumberFormat="1" applyFont="1" applyFill="1" applyBorder="1" applyAlignment="1">
      <alignment horizontal="center" vertical="center" wrapText="1"/>
    </xf>
    <xf numFmtId="165" fontId="4" fillId="9" borderId="45" xfId="0" applyNumberFormat="1" applyFont="1" applyFill="1" applyBorder="1" applyAlignment="1">
      <alignment horizontal="center" vertical="center" wrapText="1"/>
    </xf>
    <xf numFmtId="171" fontId="4" fillId="9" borderId="1" xfId="0" applyNumberFormat="1" applyFont="1" applyFill="1" applyBorder="1" applyAlignment="1">
      <alignment horizontal="center" vertical="center" wrapText="1"/>
    </xf>
    <xf numFmtId="172" fontId="4" fillId="0" borderId="1" xfId="1" applyNumberFormat="1" applyFont="1" applyBorder="1" applyAlignment="1">
      <alignment horizontal="center" vertical="center" wrapText="1"/>
    </xf>
    <xf numFmtId="172" fontId="4" fillId="0" borderId="2" xfId="1" applyNumberFormat="1" applyFont="1" applyBorder="1" applyAlignment="1">
      <alignment horizontal="center" vertical="center" wrapText="1"/>
    </xf>
    <xf numFmtId="172" fontId="4" fillId="0" borderId="18" xfId="1" applyNumberFormat="1" applyFont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vertical="center"/>
    </xf>
    <xf numFmtId="0" fontId="17" fillId="10" borderId="14" xfId="0" applyFont="1" applyFill="1" applyBorder="1" applyAlignment="1">
      <alignment horizontal="center" vertical="center" wrapText="1"/>
    </xf>
    <xf numFmtId="165" fontId="4" fillId="0" borderId="55" xfId="1" applyFont="1" applyBorder="1" applyAlignment="1">
      <alignment horizontal="center" vertical="center" wrapText="1"/>
    </xf>
    <xf numFmtId="165" fontId="4" fillId="2" borderId="55" xfId="0" applyNumberFormat="1" applyFont="1" applyFill="1" applyBorder="1" applyAlignment="1">
      <alignment horizontal="center" vertical="center" wrapText="1"/>
    </xf>
    <xf numFmtId="165" fontId="4" fillId="2" borderId="25" xfId="0" applyNumberFormat="1" applyFont="1" applyFill="1" applyBorder="1" applyAlignment="1">
      <alignment horizontal="center" vertical="center" wrapText="1"/>
    </xf>
    <xf numFmtId="164" fontId="4" fillId="9" borderId="64" xfId="0" applyNumberFormat="1" applyFont="1" applyFill="1" applyBorder="1" applyAlignment="1">
      <alignment horizontal="center" vertical="center" wrapText="1"/>
    </xf>
    <xf numFmtId="165" fontId="4" fillId="9" borderId="68" xfId="0" applyNumberFormat="1" applyFont="1" applyFill="1" applyBorder="1" applyAlignment="1">
      <alignment horizontal="center" vertical="center" wrapText="1"/>
    </xf>
    <xf numFmtId="164" fontId="4" fillId="17" borderId="40" xfId="0" applyNumberFormat="1" applyFont="1" applyFill="1" applyBorder="1" applyAlignment="1">
      <alignment horizontal="center" vertical="center" wrapText="1"/>
    </xf>
    <xf numFmtId="164" fontId="4" fillId="9" borderId="63" xfId="0" applyNumberFormat="1" applyFont="1" applyFill="1" applyBorder="1" applyAlignment="1">
      <alignment horizontal="center" vertical="center" wrapText="1"/>
    </xf>
    <xf numFmtId="165" fontId="4" fillId="9" borderId="67" xfId="0" applyNumberFormat="1" applyFont="1" applyFill="1" applyBorder="1" applyAlignment="1">
      <alignment horizontal="center" vertical="center" wrapText="1"/>
    </xf>
    <xf numFmtId="164" fontId="4" fillId="13" borderId="40" xfId="0" applyNumberFormat="1" applyFont="1" applyFill="1" applyBorder="1" applyAlignment="1">
      <alignment horizontal="center" vertical="center" wrapText="1"/>
    </xf>
    <xf numFmtId="165" fontId="4" fillId="13" borderId="42" xfId="0" applyNumberFormat="1" applyFont="1" applyFill="1" applyBorder="1" applyAlignment="1">
      <alignment horizontal="center" vertical="center" wrapText="1"/>
    </xf>
    <xf numFmtId="164" fontId="4" fillId="13" borderId="41" xfId="0" applyNumberFormat="1" applyFont="1" applyFill="1" applyBorder="1" applyAlignment="1">
      <alignment horizontal="center" vertical="center" wrapText="1"/>
    </xf>
    <xf numFmtId="164" fontId="4" fillId="13" borderId="3" xfId="0" applyNumberFormat="1" applyFont="1" applyFill="1" applyBorder="1" applyAlignment="1">
      <alignment horizontal="center" vertical="center" wrapText="1"/>
    </xf>
    <xf numFmtId="164" fontId="4" fillId="13" borderId="42" xfId="0" applyNumberFormat="1" applyFont="1" applyFill="1" applyBorder="1" applyAlignment="1">
      <alignment horizontal="center" vertical="center" wrapText="1"/>
    </xf>
    <xf numFmtId="164" fontId="4" fillId="17" borderId="42" xfId="0" applyNumberFormat="1" applyFont="1" applyFill="1" applyBorder="1" applyAlignment="1">
      <alignment horizontal="center" vertical="center" wrapText="1"/>
    </xf>
    <xf numFmtId="164" fontId="4" fillId="17" borderId="45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4" fontId="4" fillId="13" borderId="45" xfId="0" applyNumberFormat="1" applyFont="1" applyFill="1" applyBorder="1" applyAlignment="1">
      <alignment horizontal="center" vertical="center" wrapText="1"/>
    </xf>
    <xf numFmtId="165" fontId="4" fillId="13" borderId="27" xfId="1" applyFont="1" applyFill="1" applyBorder="1" applyAlignment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0" fontId="4" fillId="18" borderId="10" xfId="0" applyFont="1" applyFill="1" applyBorder="1" applyAlignment="1">
      <alignment horizontal="center" vertical="center" wrapText="1"/>
    </xf>
    <xf numFmtId="165" fontId="4" fillId="13" borderId="44" xfId="0" applyNumberFormat="1" applyFont="1" applyFill="1" applyBorder="1" applyAlignment="1">
      <alignment horizontal="center" vertical="center" wrapText="1"/>
    </xf>
    <xf numFmtId="165" fontId="4" fillId="13" borderId="3" xfId="1" applyFont="1" applyFill="1" applyBorder="1" applyAlignment="1">
      <alignment horizontal="center" vertical="center" wrapText="1"/>
    </xf>
    <xf numFmtId="165" fontId="4" fillId="0" borderId="5" xfId="1" applyFont="1" applyFill="1" applyBorder="1" applyAlignment="1">
      <alignment horizontal="center" vertical="center" wrapText="1"/>
    </xf>
    <xf numFmtId="165" fontId="4" fillId="9" borderId="22" xfId="1" applyFont="1" applyFill="1" applyBorder="1" applyAlignment="1">
      <alignment horizontal="center" vertical="center" wrapText="1"/>
    </xf>
    <xf numFmtId="165" fontId="4" fillId="0" borderId="37" xfId="0" applyNumberFormat="1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0" fontId="4" fillId="17" borderId="10" xfId="0" applyFont="1" applyFill="1" applyBorder="1" applyAlignment="1">
      <alignment horizontal="center" vertical="center"/>
    </xf>
    <xf numFmtId="0" fontId="4" fillId="17" borderId="10" xfId="0" applyFont="1" applyFill="1" applyBorder="1" applyAlignment="1">
      <alignment vertical="center"/>
    </xf>
    <xf numFmtId="9" fontId="4" fillId="17" borderId="3" xfId="0" applyNumberFormat="1" applyFont="1" applyFill="1" applyBorder="1" applyAlignment="1">
      <alignment horizontal="center" vertical="center" wrapText="1"/>
    </xf>
    <xf numFmtId="168" fontId="4" fillId="9" borderId="1" xfId="0" applyNumberFormat="1" applyFont="1" applyFill="1" applyBorder="1" applyAlignment="1">
      <alignment horizontal="center" vertical="center" wrapText="1"/>
    </xf>
    <xf numFmtId="168" fontId="4" fillId="9" borderId="2" xfId="0" applyNumberFormat="1" applyFont="1" applyFill="1" applyBorder="1" applyAlignment="1">
      <alignment horizontal="center" vertical="center" wrapText="1"/>
    </xf>
    <xf numFmtId="165" fontId="4" fillId="0" borderId="41" xfId="0" applyNumberFormat="1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/>
    </xf>
    <xf numFmtId="0" fontId="4" fillId="13" borderId="27" xfId="0" applyFont="1" applyFill="1" applyBorder="1" applyAlignment="1">
      <alignment horizontal="left" vertical="center"/>
    </xf>
    <xf numFmtId="0" fontId="4" fillId="13" borderId="10" xfId="0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2" fontId="4" fillId="13" borderId="3" xfId="0" applyNumberFormat="1" applyFont="1" applyFill="1" applyBorder="1" applyAlignment="1">
      <alignment horizontal="center" vertical="center" wrapText="1"/>
    </xf>
    <xf numFmtId="0" fontId="0" fillId="13" borderId="3" xfId="0" applyFill="1" applyBorder="1"/>
    <xf numFmtId="0" fontId="4" fillId="9" borderId="37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center" vertical="center" wrapText="1"/>
    </xf>
    <xf numFmtId="165" fontId="4" fillId="9" borderId="11" xfId="1" applyFont="1" applyFill="1" applyBorder="1" applyAlignment="1">
      <alignment horizontal="center" vertical="center" wrapText="1"/>
    </xf>
    <xf numFmtId="165" fontId="16" fillId="9" borderId="38" xfId="0" applyNumberFormat="1" applyFont="1" applyFill="1" applyBorder="1" applyAlignment="1">
      <alignment horizontal="center" vertical="center" wrapText="1"/>
    </xf>
    <xf numFmtId="165" fontId="16" fillId="9" borderId="11" xfId="0" applyNumberFormat="1" applyFont="1" applyFill="1" applyBorder="1" applyAlignment="1">
      <alignment horizontal="center" vertical="center" wrapText="1"/>
    </xf>
    <xf numFmtId="165" fontId="16" fillId="9" borderId="37" xfId="0" applyNumberFormat="1" applyFont="1" applyFill="1" applyBorder="1" applyAlignment="1">
      <alignment horizontal="center" vertical="center" wrapText="1"/>
    </xf>
    <xf numFmtId="165" fontId="4" fillId="0" borderId="6" xfId="1" applyFont="1" applyFill="1" applyBorder="1" applyAlignment="1">
      <alignment horizontal="center" vertical="center" wrapText="1"/>
    </xf>
    <xf numFmtId="164" fontId="4" fillId="9" borderId="39" xfId="0" applyNumberFormat="1" applyFont="1" applyFill="1" applyBorder="1" applyAlignment="1">
      <alignment horizontal="center" vertical="center" wrapText="1"/>
    </xf>
    <xf numFmtId="164" fontId="4" fillId="9" borderId="16" xfId="0" applyNumberFormat="1" applyFont="1" applyFill="1" applyBorder="1" applyAlignment="1">
      <alignment horizontal="center" vertical="center" wrapText="1"/>
    </xf>
    <xf numFmtId="164" fontId="4" fillId="9" borderId="29" xfId="0" applyNumberFormat="1" applyFont="1" applyFill="1" applyBorder="1" applyAlignment="1">
      <alignment horizontal="center" vertical="center" wrapText="1"/>
    </xf>
    <xf numFmtId="164" fontId="4" fillId="15" borderId="40" xfId="0" applyNumberFormat="1" applyFont="1" applyFill="1" applyBorder="1" applyAlignment="1">
      <alignment horizontal="center" vertical="center" wrapText="1"/>
    </xf>
    <xf numFmtId="165" fontId="4" fillId="15" borderId="42" xfId="0" applyNumberFormat="1" applyFont="1" applyFill="1" applyBorder="1" applyAlignment="1">
      <alignment horizontal="center" vertical="center" wrapText="1"/>
    </xf>
    <xf numFmtId="165" fontId="2" fillId="9" borderId="0" xfId="0" applyNumberFormat="1" applyFont="1" applyFill="1" applyAlignment="1">
      <alignment horizontal="center" wrapText="1"/>
    </xf>
    <xf numFmtId="0" fontId="2" fillId="9" borderId="0" xfId="0" applyFont="1" applyFill="1"/>
    <xf numFmtId="165" fontId="2" fillId="9" borderId="0" xfId="0" applyNumberFormat="1" applyFont="1" applyFill="1"/>
    <xf numFmtId="172" fontId="4" fillId="9" borderId="1" xfId="1" applyNumberFormat="1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wrapText="1"/>
    </xf>
    <xf numFmtId="0" fontId="4" fillId="9" borderId="39" xfId="0" applyFont="1" applyFill="1" applyBorder="1" applyAlignment="1">
      <alignment horizontal="left" wrapText="1"/>
    </xf>
    <xf numFmtId="2" fontId="4" fillId="9" borderId="11" xfId="0" applyNumberFormat="1" applyFont="1" applyFill="1" applyBorder="1" applyAlignment="1">
      <alignment horizontal="center" vertical="center" wrapText="1"/>
    </xf>
    <xf numFmtId="172" fontId="4" fillId="9" borderId="2" xfId="1" applyNumberFormat="1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vertical="center" wrapText="1"/>
    </xf>
    <xf numFmtId="0" fontId="17" fillId="10" borderId="11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2" fontId="17" fillId="9" borderId="11" xfId="0" applyNumberFormat="1" applyFont="1" applyFill="1" applyBorder="1" applyAlignment="1">
      <alignment horizontal="center" vertical="center" wrapText="1"/>
    </xf>
    <xf numFmtId="165" fontId="4" fillId="0" borderId="39" xfId="0" applyNumberFormat="1" applyFont="1" applyBorder="1" applyAlignment="1">
      <alignment horizontal="center" vertical="center" wrapText="1"/>
    </xf>
    <xf numFmtId="165" fontId="4" fillId="15" borderId="37" xfId="1" applyFont="1" applyFill="1" applyBorder="1" applyAlignment="1">
      <alignment horizontal="center" vertical="center" wrapText="1"/>
    </xf>
    <xf numFmtId="2" fontId="10" fillId="12" borderId="22" xfId="1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wrapText="1"/>
    </xf>
    <xf numFmtId="165" fontId="23" fillId="3" borderId="5" xfId="1" applyFont="1" applyFill="1" applyBorder="1" applyAlignment="1">
      <alignment horizontal="center" vertical="center" wrapText="1"/>
    </xf>
    <xf numFmtId="165" fontId="23" fillId="3" borderId="10" xfId="1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/>
    </xf>
    <xf numFmtId="0" fontId="6" fillId="8" borderId="56" xfId="0" applyFont="1" applyFill="1" applyBorder="1" applyAlignment="1">
      <alignment horizontal="center"/>
    </xf>
    <xf numFmtId="0" fontId="6" fillId="8" borderId="28" xfId="0" applyFont="1" applyFill="1" applyBorder="1" applyAlignment="1">
      <alignment horizontal="center"/>
    </xf>
    <xf numFmtId="0" fontId="42" fillId="4" borderId="19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165" fontId="23" fillId="3" borderId="11" xfId="1" applyFont="1" applyFill="1" applyBorder="1" applyAlignment="1">
      <alignment horizontal="center" vertical="center" wrapText="1"/>
    </xf>
    <xf numFmtId="165" fontId="23" fillId="3" borderId="3" xfId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3" fillId="3" borderId="52" xfId="0" applyFont="1" applyFill="1" applyBorder="1" applyAlignment="1">
      <alignment horizontal="center" vertical="center"/>
    </xf>
    <xf numFmtId="0" fontId="23" fillId="3" borderId="53" xfId="0" applyFont="1" applyFill="1" applyBorder="1" applyAlignment="1">
      <alignment horizontal="center" vertical="center"/>
    </xf>
    <xf numFmtId="0" fontId="23" fillId="3" borderId="54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center" vertical="center"/>
    </xf>
    <xf numFmtId="0" fontId="23" fillId="3" borderId="55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31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165" fontId="23" fillId="3" borderId="2" xfId="1" applyFont="1" applyFill="1" applyBorder="1" applyAlignment="1">
      <alignment horizontal="center" vertical="center" wrapText="1"/>
    </xf>
    <xf numFmtId="0" fontId="23" fillId="3" borderId="52" xfId="0" applyFont="1" applyFill="1" applyBorder="1" applyAlignment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165" fontId="4" fillId="15" borderId="5" xfId="0" applyNumberFormat="1" applyFont="1" applyFill="1" applyBorder="1" applyAlignment="1">
      <alignment horizontal="center" vertical="center" wrapText="1"/>
    </xf>
    <xf numFmtId="165" fontId="4" fillId="15" borderId="6" xfId="0" applyNumberFormat="1" applyFont="1" applyFill="1" applyBorder="1" applyAlignment="1">
      <alignment horizontal="center" vertical="center" wrapText="1"/>
    </xf>
    <xf numFmtId="165" fontId="4" fillId="17" borderId="5" xfId="0" applyNumberFormat="1" applyFont="1" applyFill="1" applyBorder="1" applyAlignment="1">
      <alignment horizontal="center" vertical="center" wrapText="1"/>
    </xf>
    <xf numFmtId="165" fontId="4" fillId="17" borderId="6" xfId="0" applyNumberFormat="1" applyFont="1" applyFill="1" applyBorder="1" applyAlignment="1">
      <alignment horizontal="center" vertical="center" wrapText="1"/>
    </xf>
    <xf numFmtId="165" fontId="4" fillId="13" borderId="5" xfId="0" applyNumberFormat="1" applyFont="1" applyFill="1" applyBorder="1" applyAlignment="1">
      <alignment horizontal="center" vertical="center" wrapText="1"/>
    </xf>
    <xf numFmtId="165" fontId="4" fillId="13" borderId="6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42" fillId="4" borderId="30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55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3" fillId="3" borderId="57" xfId="0" applyFont="1" applyFill="1" applyBorder="1" applyAlignment="1">
      <alignment horizontal="center" vertical="center" wrapText="1"/>
    </xf>
    <xf numFmtId="0" fontId="23" fillId="3" borderId="58" xfId="0" applyFont="1" applyFill="1" applyBorder="1" applyAlignment="1">
      <alignment horizontal="center" vertical="center" wrapText="1"/>
    </xf>
    <xf numFmtId="0" fontId="23" fillId="3" borderId="59" xfId="0" applyFont="1" applyFill="1" applyBorder="1" applyAlignment="1">
      <alignment horizontal="center" vertical="center" wrapText="1"/>
    </xf>
    <xf numFmtId="0" fontId="6" fillId="8" borderId="6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42" fillId="4" borderId="55" xfId="0" applyFont="1" applyFill="1" applyBorder="1" applyAlignment="1">
      <alignment horizontal="left" wrapText="1"/>
    </xf>
    <xf numFmtId="0" fontId="42" fillId="4" borderId="21" xfId="0" applyFont="1" applyFill="1" applyBorder="1" applyAlignment="1">
      <alignment horizontal="left" wrapText="1"/>
    </xf>
    <xf numFmtId="0" fontId="42" fillId="4" borderId="30" xfId="0" applyFont="1" applyFill="1" applyBorder="1" applyAlignment="1">
      <alignment horizontal="center" wrapText="1"/>
    </xf>
    <xf numFmtId="0" fontId="42" fillId="4" borderId="19" xfId="0" applyFont="1" applyFill="1" applyBorder="1" applyAlignment="1">
      <alignment horizontal="center" wrapText="1"/>
    </xf>
    <xf numFmtId="165" fontId="4" fillId="15" borderId="10" xfId="0" applyNumberFormat="1" applyFont="1" applyFill="1" applyBorder="1" applyAlignment="1">
      <alignment horizontal="center" vertical="center" wrapText="1"/>
    </xf>
    <xf numFmtId="165" fontId="4" fillId="13" borderId="10" xfId="0" applyNumberFormat="1" applyFont="1" applyFill="1" applyBorder="1" applyAlignment="1">
      <alignment horizontal="center" vertical="center" wrapText="1"/>
    </xf>
    <xf numFmtId="0" fontId="6" fillId="8" borderId="45" xfId="0" applyFont="1" applyFill="1" applyBorder="1" applyAlignment="1">
      <alignment horizontal="center"/>
    </xf>
    <xf numFmtId="0" fontId="6" fillId="8" borderId="29" xfId="0" applyFont="1" applyFill="1" applyBorder="1" applyAlignment="1">
      <alignment horizontal="center"/>
    </xf>
    <xf numFmtId="0" fontId="23" fillId="3" borderId="39" xfId="0" applyFont="1" applyFill="1" applyBorder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 wrapText="1"/>
    </xf>
    <xf numFmtId="0" fontId="42" fillId="4" borderId="55" xfId="0" applyFont="1" applyFill="1" applyBorder="1" applyAlignment="1">
      <alignment horizontal="right"/>
    </xf>
    <xf numFmtId="0" fontId="42" fillId="4" borderId="21" xfId="0" applyFont="1" applyFill="1" applyBorder="1" applyAlignment="1">
      <alignment horizontal="right"/>
    </xf>
    <xf numFmtId="0" fontId="23" fillId="3" borderId="2" xfId="0" applyFont="1" applyFill="1" applyBorder="1" applyAlignment="1">
      <alignment horizontal="center" vertical="center"/>
    </xf>
    <xf numFmtId="165" fontId="23" fillId="3" borderId="6" xfId="1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43" fillId="4" borderId="12" xfId="0" applyFont="1" applyFill="1" applyBorder="1" applyAlignment="1">
      <alignment horizontal="left"/>
    </xf>
    <xf numFmtId="0" fontId="43" fillId="4" borderId="13" xfId="0" applyFont="1" applyFill="1" applyBorder="1" applyAlignment="1">
      <alignment horizontal="left"/>
    </xf>
    <xf numFmtId="0" fontId="23" fillId="3" borderId="20" xfId="0" applyFont="1" applyFill="1" applyBorder="1" applyAlignment="1">
      <alignment horizontal="center" vertical="center" wrapText="1"/>
    </xf>
    <xf numFmtId="0" fontId="6" fillId="8" borderId="61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165" fontId="4" fillId="17" borderId="10" xfId="0" applyNumberFormat="1" applyFont="1" applyFill="1" applyBorder="1" applyAlignment="1">
      <alignment horizontal="center" vertical="center" wrapText="1"/>
    </xf>
    <xf numFmtId="165" fontId="21" fillId="0" borderId="22" xfId="1" applyFont="1" applyBorder="1" applyAlignment="1">
      <alignment horizontal="center" vertical="center" wrapText="1"/>
    </xf>
    <xf numFmtId="165" fontId="21" fillId="0" borderId="50" xfId="1" applyFont="1" applyBorder="1" applyAlignment="1">
      <alignment horizontal="center" wrapText="1"/>
    </xf>
    <xf numFmtId="165" fontId="21" fillId="0" borderId="62" xfId="1" applyFont="1" applyBorder="1" applyAlignment="1">
      <alignment horizontal="center" wrapText="1"/>
    </xf>
    <xf numFmtId="0" fontId="21" fillId="0" borderId="50" xfId="0" applyFont="1" applyBorder="1" applyAlignment="1">
      <alignment horizontal="center" wrapText="1"/>
    </xf>
    <xf numFmtId="0" fontId="21" fillId="0" borderId="62" xfId="0" applyFont="1" applyBorder="1" applyAlignment="1">
      <alignment horizontal="center" wrapText="1"/>
    </xf>
    <xf numFmtId="0" fontId="40" fillId="0" borderId="55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4" fillId="0" borderId="5" xfId="0" applyFont="1" applyBorder="1" applyAlignment="1">
      <alignment horizontal="justify" vertical="center" wrapText="1"/>
    </xf>
    <xf numFmtId="0" fontId="34" fillId="0" borderId="6" xfId="0" applyFont="1" applyBorder="1" applyAlignment="1">
      <alignment horizontal="justify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21" fillId="0" borderId="2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wrapText="1"/>
    </xf>
    <xf numFmtId="0" fontId="4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FFCC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1885950</xdr:colOff>
      <xdr:row>4</xdr:row>
      <xdr:rowOff>28575</xdr:rowOff>
    </xdr:to>
    <xdr:pic>
      <xdr:nvPicPr>
        <xdr:cNvPr id="5531" name="Picture 1" descr="Redorgad2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84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1847850</xdr:colOff>
      <xdr:row>4</xdr:row>
      <xdr:rowOff>47625</xdr:rowOff>
    </xdr:to>
    <xdr:pic>
      <xdr:nvPicPr>
        <xdr:cNvPr id="4796" name="Picture 1" descr="Redorgad2">
          <a:extLst>
            <a:ext uri="{FF2B5EF4-FFF2-40B4-BE49-F238E27FC236}">
              <a16:creationId xmlns:a16="http://schemas.microsoft.com/office/drawing/2014/main" id="{00000000-0008-0000-0200-0000B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2562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1876425</xdr:colOff>
      <xdr:row>4</xdr:row>
      <xdr:rowOff>38100</xdr:rowOff>
    </xdr:to>
    <xdr:pic>
      <xdr:nvPicPr>
        <xdr:cNvPr id="4797" name="Picture 1" descr="Redorgad2">
          <a:extLst>
            <a:ext uri="{FF2B5EF4-FFF2-40B4-BE49-F238E27FC236}">
              <a16:creationId xmlns:a16="http://schemas.microsoft.com/office/drawing/2014/main" id="{00000000-0008-0000-0200-0000B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7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1847850</xdr:colOff>
      <xdr:row>4</xdr:row>
      <xdr:rowOff>47625</xdr:rowOff>
    </xdr:to>
    <xdr:pic>
      <xdr:nvPicPr>
        <xdr:cNvPr id="6843" name="Picture 1" descr="Redorgad2">
          <a:extLst>
            <a:ext uri="{FF2B5EF4-FFF2-40B4-BE49-F238E27FC236}">
              <a16:creationId xmlns:a16="http://schemas.microsoft.com/office/drawing/2014/main" id="{00000000-0008-0000-0300-0000BB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2562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1876425</xdr:colOff>
      <xdr:row>4</xdr:row>
      <xdr:rowOff>38100</xdr:rowOff>
    </xdr:to>
    <xdr:pic>
      <xdr:nvPicPr>
        <xdr:cNvPr id="6844" name="Picture 1" descr="Redorgad2">
          <a:extLst>
            <a:ext uri="{FF2B5EF4-FFF2-40B4-BE49-F238E27FC236}">
              <a16:creationId xmlns:a16="http://schemas.microsoft.com/office/drawing/2014/main" id="{00000000-0008-0000-0300-0000BC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7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2028825</xdr:colOff>
      <xdr:row>4</xdr:row>
      <xdr:rowOff>47625</xdr:rowOff>
    </xdr:to>
    <xdr:pic>
      <xdr:nvPicPr>
        <xdr:cNvPr id="7854" name="Picture 1" descr="Redorgad2">
          <a:extLst>
            <a:ext uri="{FF2B5EF4-FFF2-40B4-BE49-F238E27FC236}">
              <a16:creationId xmlns:a16="http://schemas.microsoft.com/office/drawing/2014/main" id="{00000000-0008-0000-0400-0000AE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2552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2066925</xdr:colOff>
      <xdr:row>4</xdr:row>
      <xdr:rowOff>38100</xdr:rowOff>
    </xdr:to>
    <xdr:pic>
      <xdr:nvPicPr>
        <xdr:cNvPr id="7855" name="Picture 1" descr="Redorgad2">
          <a:extLst>
            <a:ext uri="{FF2B5EF4-FFF2-40B4-BE49-F238E27FC236}">
              <a16:creationId xmlns:a16="http://schemas.microsoft.com/office/drawing/2014/main" id="{00000000-0008-0000-0400-0000AF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7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1838325</xdr:colOff>
      <xdr:row>4</xdr:row>
      <xdr:rowOff>47625</xdr:rowOff>
    </xdr:to>
    <xdr:pic>
      <xdr:nvPicPr>
        <xdr:cNvPr id="8686" name="Picture 1" descr="Redorgad2">
          <a:extLst>
            <a:ext uri="{FF2B5EF4-FFF2-40B4-BE49-F238E27FC236}">
              <a16:creationId xmlns:a16="http://schemas.microsoft.com/office/drawing/2014/main" id="{00000000-0008-0000-0500-0000EE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2543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1885950</xdr:colOff>
      <xdr:row>4</xdr:row>
      <xdr:rowOff>28575</xdr:rowOff>
    </xdr:to>
    <xdr:pic>
      <xdr:nvPicPr>
        <xdr:cNvPr id="8687" name="Picture 1" descr="Redorgad2">
          <a:extLst>
            <a:ext uri="{FF2B5EF4-FFF2-40B4-BE49-F238E27FC236}">
              <a16:creationId xmlns:a16="http://schemas.microsoft.com/office/drawing/2014/main" id="{00000000-0008-0000-0500-0000EF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7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3"/>
  <sheetViews>
    <sheetView tabSelected="1" zoomScale="70" zoomScaleNormal="70" zoomScaleSheetLayoutView="66" workbookViewId="0">
      <selection activeCell="B11" sqref="B11"/>
    </sheetView>
  </sheetViews>
  <sheetFormatPr baseColWidth="10" defaultRowHeight="13.2" x14ac:dyDescent="0.25"/>
  <cols>
    <col min="1" max="1" width="11.33203125" customWidth="1"/>
    <col min="2" max="2" width="51.44140625" bestFit="1" customWidth="1"/>
    <col min="3" max="3" width="10.109375" customWidth="1"/>
    <col min="4" max="4" width="11.6640625" customWidth="1"/>
    <col min="5" max="5" width="13" hidden="1" customWidth="1"/>
    <col min="6" max="6" width="11.44140625" hidden="1" customWidth="1"/>
    <col min="7" max="7" width="13.5546875" hidden="1" customWidth="1"/>
    <col min="9" max="9" width="14" customWidth="1"/>
    <col min="10" max="10" width="28.33203125" customWidth="1"/>
    <col min="11" max="11" width="16.44140625" customWidth="1"/>
    <col min="12" max="12" width="18.88671875" customWidth="1"/>
    <col min="13" max="13" width="20.21875" customWidth="1"/>
    <col min="14" max="14" width="17" customWidth="1"/>
    <col min="15" max="15" width="18.88671875" customWidth="1"/>
    <col min="16" max="16" width="19.109375" customWidth="1"/>
    <col min="17" max="17" width="16.5546875" customWidth="1"/>
    <col min="18" max="18" width="7.44140625" hidden="1" customWidth="1"/>
    <col min="19" max="19" width="15.33203125" customWidth="1"/>
    <col min="20" max="20" width="15" customWidth="1"/>
    <col min="21" max="21" width="14.33203125" customWidth="1"/>
    <col min="22" max="22" width="14.6640625" customWidth="1"/>
    <col min="23" max="23" width="13.6640625" customWidth="1"/>
    <col min="24" max="24" width="16.109375" bestFit="1" customWidth="1"/>
    <col min="25" max="25" width="13.88671875" customWidth="1"/>
    <col min="26" max="26" width="15.44140625" customWidth="1"/>
    <col min="27" max="27" width="14.88671875" hidden="1" customWidth="1"/>
    <col min="28" max="28" width="15.33203125" hidden="1" customWidth="1"/>
    <col min="29" max="29" width="17.88671875" customWidth="1"/>
    <col min="30" max="30" width="16.109375" customWidth="1"/>
    <col min="31" max="31" width="15.44140625" customWidth="1"/>
    <col min="32" max="32" width="16.33203125" customWidth="1"/>
    <col min="33" max="33" width="16.6640625" hidden="1" customWidth="1"/>
    <col min="34" max="34" width="19.33203125" customWidth="1"/>
    <col min="35" max="35" width="15.109375" customWidth="1"/>
    <col min="36" max="36" width="16.109375" customWidth="1"/>
  </cols>
  <sheetData>
    <row r="1" spans="1:39" s="1" customFormat="1" x14ac:dyDescent="0.25">
      <c r="A1" s="10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3"/>
      <c r="O1" s="13"/>
      <c r="P1" s="14"/>
      <c r="Q1" s="14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516"/>
      <c r="AD1" s="13"/>
      <c r="AE1" s="13"/>
      <c r="AF1" s="13"/>
      <c r="AG1" s="13"/>
      <c r="AH1" s="516"/>
      <c r="AI1" s="13"/>
      <c r="AJ1" s="13"/>
    </row>
    <row r="2" spans="1:39" s="1" customFormat="1" x14ac:dyDescent="0.25">
      <c r="A2" s="10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3"/>
      <c r="O2" s="13"/>
      <c r="P2" s="14"/>
      <c r="Q2" s="14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516"/>
      <c r="AD2" s="13"/>
      <c r="AE2" s="13"/>
      <c r="AF2" s="13"/>
      <c r="AG2" s="13"/>
      <c r="AH2" s="516"/>
      <c r="AI2" s="13"/>
      <c r="AJ2" s="13"/>
    </row>
    <row r="3" spans="1:39" s="1" customFormat="1" x14ac:dyDescent="0.25">
      <c r="A3" s="10"/>
      <c r="C3" s="13"/>
      <c r="D3" s="13"/>
      <c r="E3" s="13"/>
      <c r="F3" s="13"/>
      <c r="G3" s="13"/>
      <c r="H3" s="13"/>
      <c r="I3" s="13"/>
      <c r="J3" s="13"/>
      <c r="K3" s="725" t="s">
        <v>82</v>
      </c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13"/>
      <c r="AC3" s="516"/>
      <c r="AD3" s="13"/>
      <c r="AE3" s="13"/>
      <c r="AF3" s="13"/>
      <c r="AG3" s="13"/>
      <c r="AH3" s="516"/>
      <c r="AI3" s="13"/>
      <c r="AJ3" s="13"/>
    </row>
    <row r="4" spans="1:39" s="1" customFormat="1" x14ac:dyDescent="0.25">
      <c r="A4" s="10"/>
      <c r="C4" s="13"/>
      <c r="D4" s="13"/>
      <c r="E4" s="13"/>
      <c r="F4" s="13"/>
      <c r="G4" s="13"/>
      <c r="H4" s="13"/>
      <c r="I4" s="13"/>
      <c r="J4" s="13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13"/>
      <c r="AC4" s="516"/>
      <c r="AD4" s="13"/>
      <c r="AE4" s="13"/>
      <c r="AF4" s="13"/>
      <c r="AG4" s="13"/>
      <c r="AH4" s="516"/>
      <c r="AI4" s="13"/>
      <c r="AJ4" s="13"/>
    </row>
    <row r="5" spans="1:39" s="1" customFormat="1" x14ac:dyDescent="0.25">
      <c r="A5" s="10"/>
      <c r="C5" s="13"/>
      <c r="D5" s="13"/>
      <c r="E5" s="13"/>
      <c r="F5" s="13"/>
      <c r="G5" s="13"/>
      <c r="H5" s="13"/>
      <c r="I5" s="13"/>
      <c r="J5" s="13"/>
      <c r="K5" s="725"/>
      <c r="L5" s="725"/>
      <c r="M5" s="725"/>
      <c r="N5" s="725"/>
      <c r="O5" s="725"/>
      <c r="P5" s="725"/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13"/>
      <c r="AC5" s="516"/>
      <c r="AD5" s="13"/>
      <c r="AE5" s="13"/>
      <c r="AF5" s="13"/>
      <c r="AG5" s="13"/>
      <c r="AH5" s="516"/>
      <c r="AI5" s="13"/>
      <c r="AJ5" s="13"/>
    </row>
    <row r="6" spans="1:39" s="1" customFormat="1" ht="28.2" x14ac:dyDescent="0.5">
      <c r="A6" s="728" t="s">
        <v>202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P6" s="728"/>
      <c r="Q6" s="728"/>
      <c r="R6" s="728"/>
      <c r="S6" s="728"/>
      <c r="T6" s="728"/>
      <c r="U6" s="728"/>
      <c r="V6" s="728"/>
      <c r="W6" s="728"/>
      <c r="X6" s="728"/>
      <c r="Y6" s="728"/>
      <c r="Z6" s="728"/>
      <c r="AA6" s="728"/>
      <c r="AB6" s="728"/>
      <c r="AC6" s="728"/>
      <c r="AD6" s="728"/>
      <c r="AE6" s="728"/>
      <c r="AF6" s="728"/>
      <c r="AG6" s="728"/>
      <c r="AH6" s="728"/>
      <c r="AI6" s="728"/>
      <c r="AJ6" s="728"/>
    </row>
    <row r="7" spans="1:39" s="1" customFormat="1" ht="18" thickBot="1" x14ac:dyDescent="0.35">
      <c r="A7" s="729" t="s">
        <v>83</v>
      </c>
      <c r="B7" s="730"/>
      <c r="C7" s="730"/>
      <c r="D7" s="730"/>
      <c r="E7" s="730"/>
      <c r="F7" s="730"/>
      <c r="G7" s="730"/>
      <c r="H7" s="730"/>
      <c r="I7" s="730"/>
      <c r="J7" s="730"/>
      <c r="K7" s="730"/>
      <c r="L7" s="730"/>
      <c r="M7" s="730"/>
      <c r="N7" s="730"/>
      <c r="O7" s="730"/>
      <c r="P7" s="730"/>
      <c r="Q7" s="730"/>
      <c r="R7" s="730"/>
      <c r="S7" s="730"/>
      <c r="T7" s="730"/>
      <c r="U7" s="730"/>
      <c r="V7" s="730"/>
      <c r="W7" s="730"/>
      <c r="X7" s="730"/>
      <c r="Y7" s="730"/>
      <c r="Z7" s="730"/>
      <c r="AA7" s="730"/>
      <c r="AB7" s="730"/>
      <c r="AC7" s="730"/>
      <c r="AD7" s="730"/>
      <c r="AE7" s="730"/>
      <c r="AF7" s="730"/>
      <c r="AG7" s="730"/>
      <c r="AH7" s="730"/>
      <c r="AI7" s="730"/>
      <c r="AJ7" s="730"/>
    </row>
    <row r="8" spans="1:39" ht="21" thickBot="1" x14ac:dyDescent="0.4">
      <c r="A8" s="93" t="s">
        <v>121</v>
      </c>
      <c r="B8" s="94"/>
      <c r="C8" s="94"/>
      <c r="D8" s="94"/>
      <c r="E8" s="94"/>
      <c r="F8" s="94"/>
      <c r="G8" s="129"/>
      <c r="H8" s="129"/>
      <c r="I8" s="129"/>
      <c r="J8" s="129"/>
      <c r="K8" s="129"/>
      <c r="L8" s="129"/>
      <c r="M8" s="129"/>
      <c r="N8" s="129"/>
      <c r="O8" s="129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731" t="s">
        <v>135</v>
      </c>
      <c r="AC8" s="731"/>
      <c r="AD8" s="731"/>
      <c r="AE8" s="731"/>
      <c r="AF8" s="731"/>
      <c r="AG8" s="731"/>
      <c r="AH8" s="731"/>
      <c r="AI8" s="731"/>
      <c r="AJ8" s="731"/>
    </row>
    <row r="9" spans="1:39" s="2" customFormat="1" ht="21.75" customHeight="1" thickBot="1" x14ac:dyDescent="0.3">
      <c r="A9" s="734" t="s">
        <v>1</v>
      </c>
      <c r="B9" s="734" t="s">
        <v>0</v>
      </c>
      <c r="C9" s="732" t="s">
        <v>77</v>
      </c>
      <c r="D9" s="732" t="s">
        <v>117</v>
      </c>
      <c r="E9" s="732" t="s">
        <v>125</v>
      </c>
      <c r="F9" s="732" t="s">
        <v>111</v>
      </c>
      <c r="G9" s="732" t="s">
        <v>122</v>
      </c>
      <c r="H9" s="732" t="s">
        <v>79</v>
      </c>
      <c r="I9" s="732" t="s">
        <v>143</v>
      </c>
      <c r="J9" s="726" t="s">
        <v>142</v>
      </c>
      <c r="K9" s="726" t="s">
        <v>119</v>
      </c>
      <c r="L9" s="726" t="s">
        <v>141</v>
      </c>
      <c r="M9" s="726" t="s">
        <v>142</v>
      </c>
      <c r="N9" s="734" t="s">
        <v>85</v>
      </c>
      <c r="O9" s="734" t="s">
        <v>118</v>
      </c>
      <c r="P9" s="736" t="s">
        <v>86</v>
      </c>
      <c r="Q9" s="734" t="s">
        <v>101</v>
      </c>
      <c r="R9" s="734" t="s">
        <v>123</v>
      </c>
      <c r="S9" s="736" t="s">
        <v>198</v>
      </c>
      <c r="T9" s="734" t="s">
        <v>69</v>
      </c>
      <c r="U9" s="738" t="s">
        <v>59</v>
      </c>
      <c r="V9" s="738"/>
      <c r="W9" s="738"/>
      <c r="X9" s="738"/>
      <c r="Y9" s="739"/>
      <c r="Z9" s="739" t="s">
        <v>68</v>
      </c>
      <c r="AA9" s="732" t="s">
        <v>89</v>
      </c>
      <c r="AB9" s="732" t="s">
        <v>88</v>
      </c>
      <c r="AC9" s="736" t="s">
        <v>199</v>
      </c>
      <c r="AD9" s="732" t="s">
        <v>87</v>
      </c>
      <c r="AE9" s="732" t="s">
        <v>91</v>
      </c>
      <c r="AF9" s="736" t="s">
        <v>90</v>
      </c>
      <c r="AG9" s="732" t="s">
        <v>182</v>
      </c>
      <c r="AH9" s="736" t="s">
        <v>197</v>
      </c>
      <c r="AI9" s="736" t="s">
        <v>195</v>
      </c>
      <c r="AJ9" s="732" t="s">
        <v>92</v>
      </c>
    </row>
    <row r="10" spans="1:39" s="2" customFormat="1" ht="90.75" customHeight="1" thickBot="1" x14ac:dyDescent="0.3">
      <c r="A10" s="735"/>
      <c r="B10" s="735"/>
      <c r="C10" s="733"/>
      <c r="D10" s="733"/>
      <c r="E10" s="733"/>
      <c r="F10" s="733"/>
      <c r="G10" s="733"/>
      <c r="H10" s="733"/>
      <c r="I10" s="733"/>
      <c r="J10" s="727"/>
      <c r="K10" s="727"/>
      <c r="L10" s="727"/>
      <c r="M10" s="727"/>
      <c r="N10" s="735"/>
      <c r="O10" s="735"/>
      <c r="P10" s="758"/>
      <c r="Q10" s="735"/>
      <c r="R10" s="735"/>
      <c r="S10" s="737"/>
      <c r="T10" s="735"/>
      <c r="U10" s="76" t="s">
        <v>138</v>
      </c>
      <c r="V10" s="76" t="s">
        <v>61</v>
      </c>
      <c r="W10" s="76" t="s">
        <v>62</v>
      </c>
      <c r="X10" s="76" t="s">
        <v>63</v>
      </c>
      <c r="Y10" s="76" t="s">
        <v>64</v>
      </c>
      <c r="Z10" s="740"/>
      <c r="AA10" s="733"/>
      <c r="AB10" s="733"/>
      <c r="AC10" s="737"/>
      <c r="AD10" s="733"/>
      <c r="AE10" s="733"/>
      <c r="AF10" s="737"/>
      <c r="AG10" s="733"/>
      <c r="AH10" s="737"/>
      <c r="AI10" s="737"/>
      <c r="AJ10" s="733"/>
    </row>
    <row r="11" spans="1:39" s="1" customFormat="1" ht="24.75" customHeight="1" x14ac:dyDescent="0.25">
      <c r="A11" s="303">
        <v>528</v>
      </c>
      <c r="B11" s="304" t="s">
        <v>2</v>
      </c>
      <c r="C11" s="305">
        <v>0</v>
      </c>
      <c r="D11" s="305"/>
      <c r="E11" s="306"/>
      <c r="F11" s="307"/>
      <c r="G11" s="308">
        <v>1783</v>
      </c>
      <c r="H11" s="305">
        <v>1783</v>
      </c>
      <c r="I11" s="521"/>
      <c r="J11" s="309"/>
      <c r="K11" s="310">
        <f>H11*'DATOS REFERENCIALES'!$C$4</f>
        <v>33863.609669999998</v>
      </c>
      <c r="L11" s="310"/>
      <c r="M11" s="310"/>
      <c r="N11" s="311">
        <f>LOOKUP(C11,'TABLA ANTIG.'!$A$4:$A$39,'TABLA ANTIG.'!$B$4:$B$39)*(K11)</f>
        <v>0</v>
      </c>
      <c r="O11" s="312">
        <f>(K11)*0.1</f>
        <v>3386.3609670000001</v>
      </c>
      <c r="P11" s="578">
        <f>IF(H11&gt;1134,'DATOS REFERENCIALES'!$C$8,IF(('DATOS REFERENCIALES'!$C$8/1135*H11)&lt;'DATOS REFERENCIALES'!$F$8,'DATOS REFERENCIALES'!$F$8))</f>
        <v>13323</v>
      </c>
      <c r="Q11" s="313">
        <f>LOOKUP(C11,'TABLA ANTIG.'!$A$4:$A$39,'TABLA ANTIG.'!$B$4:$B$39)*(P11)</f>
        <v>0</v>
      </c>
      <c r="R11" s="314">
        <v>0</v>
      </c>
      <c r="S11" s="312">
        <f>IF(C11&gt;11,IF(H11&gt;1134,'DATOS REFERENCIALES'!$C$18,IF(('DATOS REFERENCIALES'!$C$18/1135*H11)&lt;'DATOS REFERENCIALES'!$F$18,'DATOS REFERENCIALES'!$F$18,'DATOS REFERENCIALES'!$C$18/1135*H11)),0)</f>
        <v>0</v>
      </c>
      <c r="T11" s="312">
        <f>K11+L11+M11+N11+O11+P11+Q11+R11+S11</f>
        <v>50572.970636999999</v>
      </c>
      <c r="U11" s="315">
        <f t="shared" ref="U11:U21" si="0">$T11*11%</f>
        <v>5563.0267700699997</v>
      </c>
      <c r="V11" s="312">
        <f t="shared" ref="V11:W21" si="1">$T11*3%</f>
        <v>1517.1891191099999</v>
      </c>
      <c r="W11" s="315">
        <f t="shared" si="1"/>
        <v>1517.1891191099999</v>
      </c>
      <c r="X11" s="312">
        <f>$T11*2%</f>
        <v>1011.4594127399999</v>
      </c>
      <c r="Y11" s="312">
        <f t="shared" ref="Y11:Y21" si="2">$T11*4.5%</f>
        <v>2275.783678665</v>
      </c>
      <c r="Z11" s="312">
        <f t="shared" ref="Z11:Z21" si="3">SUM(U11:Y11)</f>
        <v>11884.648099694999</v>
      </c>
      <c r="AA11" s="316">
        <f t="shared" ref="AA11:AA21" si="4">T11-Z11</f>
        <v>38688.322537305001</v>
      </c>
      <c r="AB11" s="315">
        <f>'DATOS REFERENCIALES'!$C$10</f>
        <v>0</v>
      </c>
      <c r="AC11" s="315">
        <f>IF(C11&lt;12,IF(H11&gt;1134,'DATOS REFERENCIALES'!$C$17,IF(('DATOS REFERENCIALES'!$C$17/1135*H11)&lt;'DATOS REFERENCIALES'!$F$17,'DATOS REFERENCIALES'!$F$17,('DATOS REFERENCIALES'!$C$17/1135*H11))),0)</f>
        <v>16597</v>
      </c>
      <c r="AD11" s="312">
        <f>IF((IF(H11&gt;1134,('DATOS REFERENCIALES'!$C$9-(T11-U11-V11-W11-X11-Y11+AB11+AC11)),(('DATOS REFERENCIALES'!$C$9/1135)*H11)-(K11+N11+O11+P11+Q11+S11-U11-V11-W11-X11-Y11+AB11+AC11)))&lt;0,0,IF(H11&gt;1134,(('DATOS REFERENCIALES'!$C$9)-(T11-U11-V11-W11-X11-Y11+AB11+AC11)),(('DATOS REFERENCIALES'!$C$9/1135)*H11)-(K11+N11+O11+P11+Q11+S11-U11-V11-W11-X11-Y11+AB11+AC11)))</f>
        <v>8269.6774626949991</v>
      </c>
      <c r="AE11" s="311">
        <f t="shared" ref="AE11:AE21" si="5">SUM(AA11:AD11)</f>
        <v>63555</v>
      </c>
      <c r="AF11" s="317">
        <f>'DATOS REFERENCIALES'!$C$13</f>
        <v>5141</v>
      </c>
      <c r="AG11" s="317" t="e">
        <f>IF($H11&gt;1119,'DATOS REFERENCIALES'!#REF!,'DATOS REFERENCIALES'!#REF!/1120*$H11)</f>
        <v>#REF!</v>
      </c>
      <c r="AH11" s="317">
        <f>'DATOS REFERENCIALES'!C16</f>
        <v>2250</v>
      </c>
      <c r="AI11" s="312">
        <f>'DATOS REFERENCIALES'!$C$12</f>
        <v>6699</v>
      </c>
      <c r="AJ11" s="763">
        <f>+AE11+AE12+AF11+AI11+AH11</f>
        <v>83629.207782834055</v>
      </c>
      <c r="AK11" s="748" t="s">
        <v>93</v>
      </c>
      <c r="AL11" s="749"/>
      <c r="AM11" s="750"/>
    </row>
    <row r="12" spans="1:39" s="1" customFormat="1" ht="24" customHeight="1" thickBot="1" x14ac:dyDescent="0.3">
      <c r="A12" s="318">
        <v>528</v>
      </c>
      <c r="B12" s="319" t="s">
        <v>2</v>
      </c>
      <c r="C12" s="466">
        <f>IF(C11&gt;0,C11,0)</f>
        <v>0</v>
      </c>
      <c r="D12" s="320"/>
      <c r="E12" s="321"/>
      <c r="F12" s="322"/>
      <c r="G12" s="323">
        <v>1783</v>
      </c>
      <c r="H12" s="320"/>
      <c r="I12" s="534">
        <f>H11*'DATOS REFERENCIALES'!$K$4/100</f>
        <v>267.45</v>
      </c>
      <c r="J12" s="324" t="s">
        <v>145</v>
      </c>
      <c r="K12" s="324"/>
      <c r="L12" s="325">
        <f>I12*'DATOS REFERENCIALES'!$C$4</f>
        <v>5079.5414504999999</v>
      </c>
      <c r="M12" s="325">
        <f>IF(J12='DATOS REFERENCIALES'!$C$31,INICIAL!K11*'DATOS REFERENCIALES'!$D$31,IF(J12='DATOS REFERENCIALES'!$C$32,('DATOS REFERENCIALES'!$D$32*INICIAL!K11),IF(J12='DATOS REFERENCIALES'!$C$33,('DATOS REFERENCIALES'!$D$33*INICIAL!K11),IF(J12='DATOS REFERENCIALES'!$C$34,('DATOS REFERENCIALES'!$D$34*INICIAL!K11),IF(J12='DATOS REFERENCIALES'!$C$35,('DATOS REFERENCIALES'!$D$35*INICIAL!K11),IF(J12='DATOS REFERENCIALES'!$C$36,('DATOS REFERENCIALES'!$D$36*INICIAL!K11),IF(J12='DATOS REFERENCIALES'!$C$37,('DATOS REFERENCIALES'!$D$37*INICIAL!K11),IF(J12='DATOS REFERENCIALES'!$C$38,('DATOS REFERENCIALES'!$D$38*INICIAL!K11),0))))))))</f>
        <v>2031.8165801999999</v>
      </c>
      <c r="N12" s="326">
        <f>LOOKUP(C12,'TABLA ANTIG.'!$A$4:$A$39,'TABLA ANTIG.'!$B$4:$B$39)*(L12+M12)</f>
        <v>0</v>
      </c>
      <c r="O12" s="327">
        <f>(L12+M12)*0.1</f>
        <v>711.13580306999995</v>
      </c>
      <c r="P12" s="325"/>
      <c r="Q12" s="328"/>
      <c r="R12" s="329"/>
      <c r="S12" s="327"/>
      <c r="T12" s="327">
        <f>L12+M12+O12+N12+P12+Q12+R12+S12</f>
        <v>7822.4938337699996</v>
      </c>
      <c r="U12" s="330">
        <f t="shared" si="0"/>
        <v>860.47432171469995</v>
      </c>
      <c r="V12" s="327">
        <f t="shared" si="1"/>
        <v>234.67481501309999</v>
      </c>
      <c r="W12" s="330">
        <f t="shared" si="1"/>
        <v>234.67481501309999</v>
      </c>
      <c r="X12" s="327">
        <f>$T12*2%</f>
        <v>156.44987667539999</v>
      </c>
      <c r="Y12" s="327">
        <f t="shared" si="2"/>
        <v>352.01222251964998</v>
      </c>
      <c r="Z12" s="327">
        <f>SUM(U12:Y12)</f>
        <v>1838.2860509359498</v>
      </c>
      <c r="AA12" s="331">
        <f>T12-Z12</f>
        <v>5984.2077828340498</v>
      </c>
      <c r="AB12" s="330"/>
      <c r="AC12" s="330"/>
      <c r="AD12" s="327"/>
      <c r="AE12" s="326">
        <f t="shared" si="5"/>
        <v>5984.2077828340498</v>
      </c>
      <c r="AF12" s="332"/>
      <c r="AG12" s="332"/>
      <c r="AH12" s="332"/>
      <c r="AI12" s="327"/>
      <c r="AJ12" s="764"/>
      <c r="AK12" s="751"/>
      <c r="AL12" s="752"/>
      <c r="AM12" s="753"/>
    </row>
    <row r="13" spans="1:39" s="1" customFormat="1" ht="20.25" customHeight="1" x14ac:dyDescent="0.25">
      <c r="A13" s="243">
        <v>579</v>
      </c>
      <c r="B13" s="244" t="s">
        <v>3</v>
      </c>
      <c r="C13" s="245">
        <v>0</v>
      </c>
      <c r="D13" s="245"/>
      <c r="E13" s="245"/>
      <c r="F13" s="245"/>
      <c r="G13" s="246">
        <v>1545</v>
      </c>
      <c r="H13" s="567">
        <f t="shared" ref="H13:H21" si="6">SUM(G13:G13)</f>
        <v>1545</v>
      </c>
      <c r="I13" s="523"/>
      <c r="J13" s="569"/>
      <c r="K13" s="247">
        <f>H13*'DATOS REFERENCIALES'!$C$4</f>
        <v>29343.39705</v>
      </c>
      <c r="L13" s="247"/>
      <c r="M13" s="248"/>
      <c r="N13" s="249">
        <f>LOOKUP(C13,'TABLA ANTIG.'!$A$4:$A$39,'TABLA ANTIG.'!$B$4:$B$39)*(K13)</f>
        <v>0</v>
      </c>
      <c r="O13" s="249">
        <f>(K13)*0.1</f>
        <v>2934.3397050000003</v>
      </c>
      <c r="P13" s="577">
        <f>IF(H13&gt;1134,'DATOS REFERENCIALES'!$C$8,IF(('DATOS REFERENCIALES'!$C$8/1135*H13)&lt;'DATOS REFERENCIALES'!$F$8,'DATOS REFERENCIALES'!$F$8))</f>
        <v>13323</v>
      </c>
      <c r="Q13" s="249">
        <f>LOOKUP(C13,'TABLA ANTIG.'!$A$4:$A$39,'TABLA ANTIG.'!$B$4:$B$39)*(P13)</f>
        <v>0</v>
      </c>
      <c r="R13" s="252">
        <v>0</v>
      </c>
      <c r="S13" s="249">
        <f>IF(C13&gt;11,IF(H13&gt;1134,'DATOS REFERENCIALES'!$C$18,IF(('DATOS REFERENCIALES'!$C$18/1135*H13)&lt;'DATOS REFERENCIALES'!$F$18,'DATOS REFERENCIALES'!$F$18,'DATOS REFERENCIALES'!$C$18/1135*H13)),0)</f>
        <v>0</v>
      </c>
      <c r="T13" s="249">
        <f t="shared" ref="T13:T21" si="7">K13+L13+M13+N13+O13+P13+Q13+R13+S13</f>
        <v>45600.736754999998</v>
      </c>
      <c r="U13" s="251">
        <f t="shared" si="0"/>
        <v>5016.0810430499996</v>
      </c>
      <c r="V13" s="251">
        <f t="shared" si="1"/>
        <v>1368.0221026499999</v>
      </c>
      <c r="W13" s="252">
        <f t="shared" si="1"/>
        <v>1368.0221026499999</v>
      </c>
      <c r="X13" s="249">
        <f t="shared" ref="X13:X21" si="8">$T13*2%</f>
        <v>912.01473509999994</v>
      </c>
      <c r="Y13" s="249">
        <f t="shared" si="2"/>
        <v>2052.033153975</v>
      </c>
      <c r="Z13" s="249">
        <f t="shared" si="3"/>
        <v>10716.173137424999</v>
      </c>
      <c r="AA13" s="251">
        <f t="shared" si="4"/>
        <v>34884.563617574997</v>
      </c>
      <c r="AB13" s="252">
        <f>'DATOS REFERENCIALES'!$C$10</f>
        <v>0</v>
      </c>
      <c r="AC13" s="252">
        <f>IF(C13&lt;12,IF(H13&gt;1134,'DATOS REFERENCIALES'!$C$17,IF(('DATOS REFERENCIALES'!$C$17/1135*H13)&lt;'DATOS REFERENCIALES'!$F$17,'DATOS REFERENCIALES'!$F$17,('DATOS REFERENCIALES'!$C$17/1135*H13))),0)</f>
        <v>16597</v>
      </c>
      <c r="AD13" s="249">
        <f>IF((IF(H13&gt;1134,('DATOS REFERENCIALES'!$C$9-(T13-U13-V13-W13-X13-Y13+AB13+AC13)),(('DATOS REFERENCIALES'!$C$9/1135)*H13)-(K13+N13+O13+P13+Q13+S13-U13-V13-W13-X13-Y13+AB13+AC13)))&lt;0,0,IF(H13&gt;1134,(('DATOS REFERENCIALES'!$C$9)-(T13-U13-V13-W13-X13-Y13+AB13+AC13)),(('DATOS REFERENCIALES'!$C$9/1135)*H13)-(K13+N13+O13+P13+Q13+S13-U13-V13-W13-X13-Y13+AB13+AC13)))</f>
        <v>12073.436382424996</v>
      </c>
      <c r="AE13" s="253">
        <f t="shared" si="5"/>
        <v>63554.999999999993</v>
      </c>
      <c r="AF13" s="254">
        <f>'DATOS REFERENCIALES'!$C$13</f>
        <v>5141</v>
      </c>
      <c r="AG13" s="254" t="e">
        <f>IF($H13&gt;1119,'DATOS REFERENCIALES'!#REF!,'DATOS REFERENCIALES'!#REF!/1120*$H13)</f>
        <v>#REF!</v>
      </c>
      <c r="AH13" s="254">
        <f>'DATOS REFERENCIALES'!$C$16</f>
        <v>2250</v>
      </c>
      <c r="AI13" s="249">
        <f>'DATOS REFERENCIALES'!$C$12</f>
        <v>6699</v>
      </c>
      <c r="AJ13" s="765">
        <f>+AE13+AE14+AF13+AI13+AH13</f>
        <v>81348.870292636246</v>
      </c>
      <c r="AK13" s="752"/>
      <c r="AL13" s="752"/>
      <c r="AM13" s="753"/>
    </row>
    <row r="14" spans="1:39" s="1" customFormat="1" ht="20.25" customHeight="1" thickBot="1" x14ac:dyDescent="0.3">
      <c r="A14" s="255">
        <v>579</v>
      </c>
      <c r="B14" s="256" t="s">
        <v>3</v>
      </c>
      <c r="C14" s="257">
        <f>IF(C13&gt;0,C13,0)</f>
        <v>0</v>
      </c>
      <c r="D14" s="257"/>
      <c r="E14" s="257"/>
      <c r="F14" s="257"/>
      <c r="G14" s="258">
        <v>1545</v>
      </c>
      <c r="H14" s="568"/>
      <c r="I14" s="529">
        <f>H13*'DATOS REFERENCIALES'!$K$4/100</f>
        <v>231.75</v>
      </c>
      <c r="J14" s="570"/>
      <c r="K14" s="259"/>
      <c r="L14" s="259">
        <f>I14*'DATOS REFERENCIALES'!$C$4</f>
        <v>4401.5095574999996</v>
      </c>
      <c r="M14" s="260"/>
      <c r="N14" s="261">
        <f>LOOKUP(C14,'TABLA ANTIG.'!$A$4:$A$39,'TABLA ANTIG.'!$B$4:$B$39)*(L14+M14)</f>
        <v>0</v>
      </c>
      <c r="O14" s="261">
        <f>(L14+M14)*0.1</f>
        <v>440.15095574999998</v>
      </c>
      <c r="P14" s="262"/>
      <c r="Q14" s="261"/>
      <c r="R14" s="494"/>
      <c r="S14" s="301"/>
      <c r="T14" s="268">
        <f t="shared" si="7"/>
        <v>4841.6605132499999</v>
      </c>
      <c r="U14" s="264">
        <f t="shared" si="0"/>
        <v>532.58265645749998</v>
      </c>
      <c r="V14" s="264">
        <f t="shared" si="1"/>
        <v>145.24981539749999</v>
      </c>
      <c r="W14" s="265">
        <f t="shared" si="1"/>
        <v>145.24981539749999</v>
      </c>
      <c r="X14" s="263">
        <f>$T14*2%</f>
        <v>96.833210265000005</v>
      </c>
      <c r="Y14" s="263">
        <f t="shared" si="2"/>
        <v>217.87472309624999</v>
      </c>
      <c r="Z14" s="263">
        <f t="shared" si="3"/>
        <v>1137.7902206137501</v>
      </c>
      <c r="AA14" s="264">
        <f t="shared" si="4"/>
        <v>3703.8702926362498</v>
      </c>
      <c r="AB14" s="494"/>
      <c r="AC14" s="494"/>
      <c r="AD14" s="268"/>
      <c r="AE14" s="266">
        <f t="shared" si="5"/>
        <v>3703.8702926362498</v>
      </c>
      <c r="AF14" s="267"/>
      <c r="AG14" s="267"/>
      <c r="AH14" s="267"/>
      <c r="AI14" s="261"/>
      <c r="AJ14" s="766"/>
      <c r="AK14" s="752"/>
      <c r="AL14" s="752"/>
      <c r="AM14" s="753"/>
    </row>
    <row r="15" spans="1:39" s="1" customFormat="1" ht="21.75" customHeight="1" x14ac:dyDescent="0.25">
      <c r="A15" s="269">
        <v>544</v>
      </c>
      <c r="B15" s="270" t="s">
        <v>4</v>
      </c>
      <c r="C15" s="271">
        <v>0</v>
      </c>
      <c r="D15" s="271"/>
      <c r="E15" s="271"/>
      <c r="F15" s="271"/>
      <c r="G15" s="272">
        <v>1307</v>
      </c>
      <c r="H15" s="563">
        <f t="shared" si="6"/>
        <v>1307</v>
      </c>
      <c r="I15" s="571"/>
      <c r="J15" s="565"/>
      <c r="K15" s="273">
        <f>H15*'DATOS REFERENCIALES'!$C$4</f>
        <v>24823.184430000001</v>
      </c>
      <c r="L15" s="273"/>
      <c r="M15" s="274"/>
      <c r="N15" s="275">
        <f>LOOKUP(C15,'TABLA ANTIG.'!$A$4:$A$39,'TABLA ANTIG.'!$B$4:$B$39)*(K15)</f>
        <v>0</v>
      </c>
      <c r="O15" s="275">
        <f>(K15)*0.1</f>
        <v>2482.3184430000001</v>
      </c>
      <c r="P15" s="579">
        <f>IF(H15&gt;1134,'DATOS REFERENCIALES'!$C$8,IF(('DATOS REFERENCIALES'!$C$8/1135*H15)&lt;'DATOS REFERENCIALES'!$F$8,'DATOS REFERENCIALES'!$F$8))</f>
        <v>13323</v>
      </c>
      <c r="Q15" s="275">
        <f>LOOKUP(C15,'TABLA ANTIG.'!$A$4:$A$39,'TABLA ANTIG.'!$B$4:$B$39)*(P15)</f>
        <v>0</v>
      </c>
      <c r="R15" s="276">
        <v>0</v>
      </c>
      <c r="S15" s="275">
        <f>IF(C15&gt;11,IF(H15&gt;1134,'DATOS REFERENCIALES'!$C$18,IF(('DATOS REFERENCIALES'!$C$18/1135*H15)&lt;'DATOS REFERENCIALES'!$F$18,'DATOS REFERENCIALES'!$F$18,'DATOS REFERENCIALES'!$C$18/1135*H15)),0)</f>
        <v>0</v>
      </c>
      <c r="T15" s="275">
        <f t="shared" si="7"/>
        <v>40628.502873000005</v>
      </c>
      <c r="U15" s="278">
        <f t="shared" si="0"/>
        <v>4469.1353160300005</v>
      </c>
      <c r="V15" s="275">
        <f t="shared" si="1"/>
        <v>1218.8550861900001</v>
      </c>
      <c r="W15" s="277">
        <f t="shared" si="1"/>
        <v>1218.8550861900001</v>
      </c>
      <c r="X15" s="275">
        <f t="shared" si="8"/>
        <v>812.57005746000016</v>
      </c>
      <c r="Y15" s="275">
        <f t="shared" si="2"/>
        <v>1828.2826292850002</v>
      </c>
      <c r="Z15" s="275">
        <f t="shared" si="3"/>
        <v>9547.6981751550011</v>
      </c>
      <c r="AA15" s="278">
        <f t="shared" si="4"/>
        <v>31080.804697845004</v>
      </c>
      <c r="AB15" s="277">
        <f>'DATOS REFERENCIALES'!$C$10</f>
        <v>0</v>
      </c>
      <c r="AC15" s="276">
        <f>IF(C15&lt;12,IF(H15&gt;1134,'DATOS REFERENCIALES'!$C$17,IF(('DATOS REFERENCIALES'!$C$17/1135*H15)&lt;'DATOS REFERENCIALES'!$F$17,'DATOS REFERENCIALES'!$F$17,('DATOS REFERENCIALES'!$C$17/1135*H15))),0)</f>
        <v>16597</v>
      </c>
      <c r="AD15" s="275">
        <f>IF((IF(H15&gt;1134,('DATOS REFERENCIALES'!$C$9-(T15-U15-V15-W15-X15-Y15+AB15+AC15)),(('DATOS REFERENCIALES'!$C$9/1135)*H15)-(K15+N15+O15+P15+Q15+S15-U15-V15-W15-X15-Y15+AB15+AC15)))&lt;0,0,IF(H15&gt;1134,(('DATOS REFERENCIALES'!$C$9)-(T15-U15-V15-W15-X15-Y15+AB15+AC15)),(('DATOS REFERENCIALES'!$C$9/1135)*H15)-(K15+N15+O15+P15+Q15+S15-U15-V15-W15-X15-Y15+AB15+AC15)))</f>
        <v>15877.195302154993</v>
      </c>
      <c r="AE15" s="277">
        <f t="shared" si="5"/>
        <v>63554.999999999993</v>
      </c>
      <c r="AF15" s="279">
        <f>'DATOS REFERENCIALES'!$C$13</f>
        <v>5141</v>
      </c>
      <c r="AG15" s="279" t="e">
        <f>IF($H15&gt;1119,'DATOS REFERENCIALES'!#REF!,'DATOS REFERENCIALES'!#REF!/1120*$H15)</f>
        <v>#REF!</v>
      </c>
      <c r="AH15" s="279">
        <f>'DATOS REFERENCIALES'!C16</f>
        <v>2250</v>
      </c>
      <c r="AI15" s="275">
        <f>'DATOS REFERENCIALES'!$C$12</f>
        <v>6699</v>
      </c>
      <c r="AJ15" s="761">
        <f>+AE15+AE16+AF15+AI15+AH15</f>
        <v>80778.306454676742</v>
      </c>
      <c r="AK15" s="752"/>
      <c r="AL15" s="752"/>
      <c r="AM15" s="753"/>
    </row>
    <row r="16" spans="1:39" s="1" customFormat="1" ht="21.75" customHeight="1" thickBot="1" x14ac:dyDescent="0.3">
      <c r="A16" s="280">
        <v>544</v>
      </c>
      <c r="B16" s="281" t="s">
        <v>4</v>
      </c>
      <c r="C16" s="282">
        <f>IF(C15&gt;0,C15,0)</f>
        <v>0</v>
      </c>
      <c r="D16" s="282"/>
      <c r="E16" s="282"/>
      <c r="F16" s="282"/>
      <c r="G16" s="283">
        <v>1307</v>
      </c>
      <c r="H16" s="564"/>
      <c r="I16" s="525">
        <f>H15*'DATOS REFERENCIALES'!$K$4/100</f>
        <v>196.05</v>
      </c>
      <c r="J16" s="566"/>
      <c r="K16" s="284"/>
      <c r="L16" s="284">
        <f>I16*'DATOS REFERENCIALES'!$C$4</f>
        <v>3723.4776645000002</v>
      </c>
      <c r="M16" s="285"/>
      <c r="N16" s="286">
        <f>LOOKUP(C16,'TABLA ANTIG.'!$A$4:$A$39,'TABLA ANTIG.'!$B$4:$B$39)*(L16+M16)</f>
        <v>0</v>
      </c>
      <c r="O16" s="286">
        <f>(L16+M16)*0.1</f>
        <v>372.34776645000005</v>
      </c>
      <c r="P16" s="287"/>
      <c r="Q16" s="288"/>
      <c r="R16" s="289"/>
      <c r="S16" s="505"/>
      <c r="T16" s="288">
        <f t="shared" si="7"/>
        <v>4095.8254309500003</v>
      </c>
      <c r="U16" s="291">
        <f t="shared" si="0"/>
        <v>450.54079740450004</v>
      </c>
      <c r="V16" s="288">
        <f t="shared" si="1"/>
        <v>122.8747629285</v>
      </c>
      <c r="W16" s="290">
        <f t="shared" si="1"/>
        <v>122.8747629285</v>
      </c>
      <c r="X16" s="288">
        <f t="shared" si="8"/>
        <v>81.916508619000012</v>
      </c>
      <c r="Y16" s="288">
        <f t="shared" si="2"/>
        <v>184.31214439275001</v>
      </c>
      <c r="Z16" s="288">
        <f>SUM(U16:Y16)</f>
        <v>962.51897627325002</v>
      </c>
      <c r="AA16" s="291">
        <f>T16-Z16</f>
        <v>3133.30645467675</v>
      </c>
      <c r="AB16" s="290"/>
      <c r="AC16" s="547"/>
      <c r="AD16" s="419"/>
      <c r="AE16" s="290">
        <f t="shared" si="5"/>
        <v>3133.30645467675</v>
      </c>
      <c r="AF16" s="292"/>
      <c r="AG16" s="292"/>
      <c r="AH16" s="292"/>
      <c r="AI16" s="288"/>
      <c r="AJ16" s="762"/>
      <c r="AK16" s="752"/>
      <c r="AL16" s="752"/>
      <c r="AM16" s="753"/>
    </row>
    <row r="17" spans="1:39" s="1" customFormat="1" ht="19.5" customHeight="1" x14ac:dyDescent="0.25">
      <c r="A17" s="192">
        <v>543</v>
      </c>
      <c r="B17" s="157" t="s">
        <v>54</v>
      </c>
      <c r="C17" s="117">
        <v>0</v>
      </c>
      <c r="D17" s="117"/>
      <c r="E17" s="117"/>
      <c r="F17" s="117"/>
      <c r="G17" s="158">
        <v>1120</v>
      </c>
      <c r="H17" s="512">
        <v>1135</v>
      </c>
      <c r="I17" s="526"/>
      <c r="J17" s="117"/>
      <c r="K17" s="103">
        <f>H17*'DATOS REFERENCIALES'!$C$4</f>
        <v>21556.476149999999</v>
      </c>
      <c r="L17" s="103"/>
      <c r="M17" s="193"/>
      <c r="N17" s="104">
        <f>LOOKUP(C17,'TABLA ANTIG.'!$A$4:$A$39,'TABLA ANTIG.'!$B$4:$B$39)*(K17+L17+M17)</f>
        <v>0</v>
      </c>
      <c r="O17" s="111">
        <f>(K17+L17+M17)*0.1</f>
        <v>2155.6476149999999</v>
      </c>
      <c r="P17" s="194">
        <f>IF(H17&gt;1134,'DATOS REFERENCIALES'!$C$8,IF(('DATOS REFERENCIALES'!$C$8/1135*H17)&lt;'DATOS REFERENCIALES'!$F$8,'DATOS REFERENCIALES'!$F$8))</f>
        <v>13323</v>
      </c>
      <c r="Q17" s="104">
        <f>LOOKUP(C17,'TABLA ANTIG.'!$A$4:$A$39,'TABLA ANTIG.'!$B$4:$B$39)*(P17)</f>
        <v>0</v>
      </c>
      <c r="R17" s="142">
        <v>0</v>
      </c>
      <c r="S17" s="77">
        <f>IF(C17&gt;11,IF(H17&gt;1134,'DATOS REFERENCIALES'!$C$18,IF(('DATOS REFERENCIALES'!$C$18/1135*H17)&lt;'DATOS REFERENCIALES'!$F$18,'DATOS REFERENCIALES'!$F$18,'DATOS REFERENCIALES'!$C$18/1135*H17)),0)</f>
        <v>0</v>
      </c>
      <c r="T17" s="316">
        <f t="shared" si="7"/>
        <v>37035.123764999997</v>
      </c>
      <c r="U17" s="77">
        <f t="shared" si="0"/>
        <v>4073.8636141499996</v>
      </c>
      <c r="V17" s="104">
        <f t="shared" si="1"/>
        <v>1111.0537129499999</v>
      </c>
      <c r="W17" s="146">
        <f t="shared" si="1"/>
        <v>1111.0537129499999</v>
      </c>
      <c r="X17" s="104">
        <f t="shared" si="8"/>
        <v>740.70247529999995</v>
      </c>
      <c r="Y17" s="104">
        <f t="shared" si="2"/>
        <v>1666.5805694249998</v>
      </c>
      <c r="Z17" s="111">
        <f t="shared" si="3"/>
        <v>8703.2540847749988</v>
      </c>
      <c r="AA17" s="143">
        <f t="shared" si="4"/>
        <v>28331.869680224998</v>
      </c>
      <c r="AB17" s="146">
        <f>'DATOS REFERENCIALES'!$C$10</f>
        <v>0</v>
      </c>
      <c r="AC17" s="77">
        <f>IF(C17&lt;12,IF(H17&gt;1134,'DATOS REFERENCIALES'!$C$17,IF(('DATOS REFERENCIALES'!$C$17/1135*H17)&lt;'DATOS REFERENCIALES'!$F$17,'DATOS REFERENCIALES'!$F$17,('DATOS REFERENCIALES'!$C$17/1135*H17))),0)</f>
        <v>16597</v>
      </c>
      <c r="AD17" s="549">
        <f>IF((IF(H17&gt;1134,('DATOS REFERENCIALES'!$C$9-(T17-U17-V17-W17-X17-Y17+AB17+AC17)),(('DATOS REFERENCIALES'!$C$9/1135)*H17)-(K17+N17+O17+P17+Q17+S17-U17-V17-W17-X17-Y17+AB17+AC17)))&lt;0,0,IF(H17&gt;1134,(('DATOS REFERENCIALES'!$C$9)-(T17-U17-V17-W17-X17-Y17+AB17+AC17)),(('DATOS REFERENCIALES'!$C$9/1135)*H17)-(K17+N17+O17+P17+Q17+S17-U17-V17-W17-X17-Y17+AB17+AC17)))</f>
        <v>18626.130319775009</v>
      </c>
      <c r="AE17" s="143">
        <f t="shared" si="5"/>
        <v>63555.000000000007</v>
      </c>
      <c r="AF17" s="195">
        <f>'DATOS REFERENCIALES'!$C$13</f>
        <v>5141</v>
      </c>
      <c r="AG17" s="181" t="e">
        <f>IF(H17&gt;1119,'DATOS REFERENCIALES'!#REF!,'DATOS REFERENCIALES'!#REF!/1120*H17)</f>
        <v>#REF!</v>
      </c>
      <c r="AH17" s="520">
        <f>'DATOS REFERENCIALES'!C16</f>
        <v>2250</v>
      </c>
      <c r="AI17" s="146">
        <f>'DATOS REFERENCIALES'!$C$12</f>
        <v>6699</v>
      </c>
      <c r="AJ17" s="77">
        <f>+AE17+AF17+AI17+AH17</f>
        <v>77645</v>
      </c>
      <c r="AK17" s="752"/>
      <c r="AL17" s="752"/>
      <c r="AM17" s="753"/>
    </row>
    <row r="18" spans="1:39" s="1" customFormat="1" ht="21" customHeight="1" x14ac:dyDescent="0.25">
      <c r="A18" s="82">
        <v>906</v>
      </c>
      <c r="B18" s="84" t="s">
        <v>70</v>
      </c>
      <c r="C18" s="23">
        <v>0</v>
      </c>
      <c r="D18" s="23"/>
      <c r="E18" s="23"/>
      <c r="F18" s="23"/>
      <c r="G18" s="51">
        <v>1120</v>
      </c>
      <c r="H18" s="513">
        <v>1135</v>
      </c>
      <c r="I18" s="87"/>
      <c r="J18" s="34"/>
      <c r="K18" s="88">
        <f>H18*'DATOS REFERENCIALES'!$C$4</f>
        <v>21556.476149999999</v>
      </c>
      <c r="L18" s="88"/>
      <c r="M18" s="182"/>
      <c r="N18" s="78">
        <f>LOOKUP(C18,'TABLA ANTIG.'!$A$4:$A$39,'TABLA ANTIG.'!$B$4:$B$39)*(K18+L18+M18)</f>
        <v>0</v>
      </c>
      <c r="O18" s="27">
        <f>(K18+L18+M18)*0.1</f>
        <v>2155.6476149999999</v>
      </c>
      <c r="P18" s="194">
        <f>IF(H18&gt;1134,'DATOS REFERENCIALES'!$C$8,IF(('DATOS REFERENCIALES'!$C$8/1135*H18)&lt;'DATOS REFERENCIALES'!$F$8,'DATOS REFERENCIALES'!$F$8))</f>
        <v>13323</v>
      </c>
      <c r="Q18" s="78">
        <f>LOOKUP(C18,'TABLA ANTIG.'!$A$4:$A$39,'TABLA ANTIG.'!$B$4:$B$39)*(P18)</f>
        <v>0</v>
      </c>
      <c r="R18" s="97">
        <v>0</v>
      </c>
      <c r="S18" s="78">
        <f>IF(C18&gt;11,IF(H18&gt;1134,'DATOS REFERENCIALES'!$C$18,IF(('DATOS REFERENCIALES'!$C$18/1135*H18)&lt;'DATOS REFERENCIALES'!$F$18,'DATOS REFERENCIALES'!$F$18,'DATOS REFERENCIALES'!$C$18/1135*H18)),0)</f>
        <v>0</v>
      </c>
      <c r="T18" s="388">
        <f t="shared" si="7"/>
        <v>37035.123764999997</v>
      </c>
      <c r="U18" s="27">
        <f t="shared" si="0"/>
        <v>4073.8636141499996</v>
      </c>
      <c r="V18" s="27">
        <f t="shared" si="1"/>
        <v>1111.0537129499999</v>
      </c>
      <c r="W18" s="97">
        <f t="shared" si="1"/>
        <v>1111.0537129499999</v>
      </c>
      <c r="X18" s="27">
        <f t="shared" si="8"/>
        <v>740.70247529999995</v>
      </c>
      <c r="Y18" s="27">
        <f t="shared" si="2"/>
        <v>1666.5805694249998</v>
      </c>
      <c r="Z18" s="27">
        <f t="shared" si="3"/>
        <v>8703.2540847749988</v>
      </c>
      <c r="AA18" s="127">
        <f t="shared" si="4"/>
        <v>28331.869680224998</v>
      </c>
      <c r="AB18" s="144">
        <f>'DATOS REFERENCIALES'!$C$10</f>
        <v>0</v>
      </c>
      <c r="AC18" s="78">
        <f>IF(C18&lt;12,IF(H18&gt;1134,'DATOS REFERENCIALES'!$C$17,IF(('DATOS REFERENCIALES'!$C$17/1135*H18)&lt;'DATOS REFERENCIALES'!$F$17,'DATOS REFERENCIALES'!$F$17,('DATOS REFERENCIALES'!$C$17/1135*H18))),0)</f>
        <v>16597</v>
      </c>
      <c r="AD18" s="127">
        <f>IF((IF(H18&gt;1134,('DATOS REFERENCIALES'!$C$9-(T18-U18-V18-W18-X18-Y18+AB18+AC18)),(('DATOS REFERENCIALES'!$C$9/1135)*H18)-(K18+N18+O18+P18+Q18+S18-U18-V18-W18-X18-Y18+AB18+AC18)))&lt;0,0,IF(H18&gt;1134,(('DATOS REFERENCIALES'!$C$9)-(T18-U18-V18-W18-X18-Y18+AB18+AC18)),(('DATOS REFERENCIALES'!$C$9/1135)*H18)-(K18+N18+O18+P18+Q18+S18-U18-V18-W18-X18-Y18+AB18+AC18)))</f>
        <v>18626.130319775009</v>
      </c>
      <c r="AE18" s="127">
        <f t="shared" si="5"/>
        <v>63555.000000000007</v>
      </c>
      <c r="AF18" s="162">
        <f>'DATOS REFERENCIALES'!$C$13</f>
        <v>5141</v>
      </c>
      <c r="AG18" s="90" t="e">
        <f>IF(H18&gt;1119,'DATOS REFERENCIALES'!#REF!,'DATOS REFERENCIALES'!#REF!/1120*H18)</f>
        <v>#REF!</v>
      </c>
      <c r="AH18" s="162">
        <f>'DATOS REFERENCIALES'!C16</f>
        <v>2250</v>
      </c>
      <c r="AI18" s="144">
        <f>'DATOS REFERENCIALES'!$C$12</f>
        <v>6699</v>
      </c>
      <c r="AJ18" s="78">
        <f t="shared" ref="AJ18:AJ21" si="9">+AE18+AF18+AI18+AH18</f>
        <v>77645</v>
      </c>
      <c r="AK18" s="752"/>
      <c r="AL18" s="752"/>
      <c r="AM18" s="753"/>
    </row>
    <row r="19" spans="1:39" s="1" customFormat="1" ht="17.25" customHeight="1" x14ac:dyDescent="0.25">
      <c r="A19" s="82">
        <v>907</v>
      </c>
      <c r="B19" s="84" t="s">
        <v>80</v>
      </c>
      <c r="C19" s="23">
        <v>0</v>
      </c>
      <c r="D19" s="23"/>
      <c r="E19" s="23"/>
      <c r="F19" s="23"/>
      <c r="G19" s="51">
        <v>1120</v>
      </c>
      <c r="H19" s="513">
        <v>1135</v>
      </c>
      <c r="I19" s="34"/>
      <c r="J19" s="34"/>
      <c r="K19" s="88">
        <f>H19*'DATOS REFERENCIALES'!$C$4</f>
        <v>21556.476149999999</v>
      </c>
      <c r="L19" s="88"/>
      <c r="M19" s="182"/>
      <c r="N19" s="78">
        <f>LOOKUP(C19,'TABLA ANTIG.'!$A$4:$A$39,'TABLA ANTIG.'!$B$4:$B$39)*(K19+L19+M19)</f>
        <v>0</v>
      </c>
      <c r="O19" s="27">
        <f>(K19+L19+M19)*0.1</f>
        <v>2155.6476149999999</v>
      </c>
      <c r="P19" s="194">
        <f>IF(H19&gt;1134,'DATOS REFERENCIALES'!$C$8,IF(('DATOS REFERENCIALES'!$C$8/1135*H19)&lt;'DATOS REFERENCIALES'!$F$8,'DATOS REFERENCIALES'!$F$8))</f>
        <v>13323</v>
      </c>
      <c r="Q19" s="78">
        <f>LOOKUP(C19,'TABLA ANTIG.'!$A$4:$A$39,'TABLA ANTIG.'!$B$4:$B$39)*(P19)</f>
        <v>0</v>
      </c>
      <c r="R19" s="97">
        <v>0</v>
      </c>
      <c r="S19" s="78">
        <f>IF(C19&gt;11,IF(H19&gt;1134,'DATOS REFERENCIALES'!$C$18,IF(('DATOS REFERENCIALES'!$C$18/1135*H19)&lt;'DATOS REFERENCIALES'!$F$18,'DATOS REFERENCIALES'!$F$18,'DATOS REFERENCIALES'!$C$18/1135*H19)),0)</f>
        <v>0</v>
      </c>
      <c r="T19" s="388">
        <f t="shared" si="7"/>
        <v>37035.123764999997</v>
      </c>
      <c r="U19" s="27">
        <f t="shared" si="0"/>
        <v>4073.8636141499996</v>
      </c>
      <c r="V19" s="27">
        <f t="shared" si="1"/>
        <v>1111.0537129499999</v>
      </c>
      <c r="W19" s="97">
        <f t="shared" si="1"/>
        <v>1111.0537129499999</v>
      </c>
      <c r="X19" s="27">
        <f t="shared" si="8"/>
        <v>740.70247529999995</v>
      </c>
      <c r="Y19" s="27">
        <f t="shared" si="2"/>
        <v>1666.5805694249998</v>
      </c>
      <c r="Z19" s="27">
        <f t="shared" si="3"/>
        <v>8703.2540847749988</v>
      </c>
      <c r="AA19" s="127">
        <f t="shared" si="4"/>
        <v>28331.869680224998</v>
      </c>
      <c r="AB19" s="144">
        <f>'DATOS REFERENCIALES'!$C$10</f>
        <v>0</v>
      </c>
      <c r="AC19" s="78">
        <f>IF(C19&lt;12,IF(H19&gt;1134,'DATOS REFERENCIALES'!$C$17,IF(('DATOS REFERENCIALES'!$C$17/1135*H19)&lt;'DATOS REFERENCIALES'!$F$17,'DATOS REFERENCIALES'!$F$17,('DATOS REFERENCIALES'!$C$17/1135*H19))),0)</f>
        <v>16597</v>
      </c>
      <c r="AD19" s="127">
        <f>IF((IF(H19&gt;1134,('DATOS REFERENCIALES'!$C$9-(T19-U19-V19-W19-X19-Y19+AB19+AC19)),(('DATOS REFERENCIALES'!$C$9/1135)*H19)-(K19+N19+O19+P19+Q19+S19-U19-V19-W19-X19-Y19+AB19+AC19)))&lt;0,0,IF(H19&gt;1134,(('DATOS REFERENCIALES'!$C$9)-(T19-U19-V19-W19-X19-Y19+AB19+AC19)),(('DATOS REFERENCIALES'!$C$9/1135)*H19)-(K19+N19+O19+P19+Q19+S19-U19-V19-W19-X19-Y19+AB19+AC19)))</f>
        <v>18626.130319775009</v>
      </c>
      <c r="AE19" s="127">
        <f t="shared" si="5"/>
        <v>63555.000000000007</v>
      </c>
      <c r="AF19" s="162">
        <f>'DATOS REFERENCIALES'!$C$13</f>
        <v>5141</v>
      </c>
      <c r="AG19" s="90" t="e">
        <f>IF(H19&gt;1119,'DATOS REFERENCIALES'!#REF!,'DATOS REFERENCIALES'!#REF!/1120*H19)</f>
        <v>#REF!</v>
      </c>
      <c r="AH19" s="162">
        <f>'DATOS REFERENCIALES'!C16</f>
        <v>2250</v>
      </c>
      <c r="AI19" s="144">
        <f>'DATOS REFERENCIALES'!$C$12</f>
        <v>6699</v>
      </c>
      <c r="AJ19" s="78">
        <f t="shared" si="9"/>
        <v>77645</v>
      </c>
      <c r="AK19" s="752"/>
      <c r="AL19" s="752"/>
      <c r="AM19" s="753"/>
    </row>
    <row r="20" spans="1:39" s="1" customFormat="1" ht="18.75" customHeight="1" x14ac:dyDescent="0.25">
      <c r="A20" s="82">
        <v>889</v>
      </c>
      <c r="B20" s="84" t="s">
        <v>52</v>
      </c>
      <c r="C20" s="23">
        <v>0</v>
      </c>
      <c r="D20" s="23"/>
      <c r="E20" s="23"/>
      <c r="F20" s="23"/>
      <c r="G20" s="86">
        <v>981.5</v>
      </c>
      <c r="H20" s="87">
        <f t="shared" si="6"/>
        <v>981.5</v>
      </c>
      <c r="I20" s="87"/>
      <c r="J20" s="87"/>
      <c r="K20" s="88">
        <f>H20*'DATOS REFERENCIALES'!$C$4</f>
        <v>18641.128935000001</v>
      </c>
      <c r="L20" s="88"/>
      <c r="M20" s="182"/>
      <c r="N20" s="78">
        <f>LOOKUP(C20,'TABLA ANTIG.'!$A$4:$A$39,'TABLA ANTIG.'!$B$4:$B$39)*(K20+L20+M20)</f>
        <v>0</v>
      </c>
      <c r="O20" s="27">
        <f>(K20+L20+M20)*0.1</f>
        <v>1864.1128935000002</v>
      </c>
      <c r="P20" s="194">
        <f>IF(H20&gt;1134,'DATOS REFERENCIALES'!$C$8,IF(('DATOS REFERENCIALES'!$C$8/1135*H20)&lt;'DATOS REFERENCIALES'!$F$8,'DATOS REFERENCIALES'!$F$8))</f>
        <v>12239</v>
      </c>
      <c r="Q20" s="78">
        <f>LOOKUP(C20,'TABLA ANTIG.'!$A$4:$A$39,'TABLA ANTIG.'!$B$4:$B$39)*(P20)</f>
        <v>0</v>
      </c>
      <c r="R20" s="97">
        <v>0</v>
      </c>
      <c r="S20" s="78">
        <f>IF(C20&gt;11,IF(H20&gt;1134,'DATOS REFERENCIALES'!$C$18,IF(('DATOS REFERENCIALES'!$C$18/1135*H20)&lt;'DATOS REFERENCIALES'!$F$18,'DATOS REFERENCIALES'!$F$18,'DATOS REFERENCIALES'!$C$18/1135*H20)),0)</f>
        <v>0</v>
      </c>
      <c r="T20" s="388">
        <f t="shared" si="7"/>
        <v>32744.241828500002</v>
      </c>
      <c r="U20" s="27">
        <f t="shared" si="0"/>
        <v>3601.8666011350001</v>
      </c>
      <c r="V20" s="27">
        <f t="shared" si="1"/>
        <v>982.32725485499998</v>
      </c>
      <c r="W20" s="97">
        <f t="shared" si="1"/>
        <v>982.32725485499998</v>
      </c>
      <c r="X20" s="27">
        <f t="shared" si="8"/>
        <v>654.88483657000006</v>
      </c>
      <c r="Y20" s="27">
        <f t="shared" si="2"/>
        <v>1473.4908822825</v>
      </c>
      <c r="Z20" s="27">
        <f t="shared" si="3"/>
        <v>7694.8968296974999</v>
      </c>
      <c r="AA20" s="127">
        <f t="shared" si="4"/>
        <v>25049.344998802502</v>
      </c>
      <c r="AB20" s="144">
        <f>'DATOS REFERENCIALES'!$C$10</f>
        <v>0</v>
      </c>
      <c r="AC20" s="78">
        <f>IF(C20&lt;12,IF(H20&gt;1134,'DATOS REFERENCIALES'!$C$17,IF(('DATOS REFERENCIALES'!$C$17/1135*H20)&lt;'DATOS REFERENCIALES'!$F$17,'DATOS REFERENCIALES'!$F$17,('DATOS REFERENCIALES'!$C$17/1135*H20))),0)</f>
        <v>15925</v>
      </c>
      <c r="AD20" s="127">
        <f>IF((IF(H20&gt;1134,('DATOS REFERENCIALES'!$C$9-(T20-U20-V20-W20-X20-Y20+AB20+AC20)),(('DATOS REFERENCIALES'!$C$9/1135)*H20)-(K20+N20+O20+P20+Q20+S20-U20-V20-W20-X20-Y20+AB20+AC20)))&lt;0,0,IF(H20&gt;1134,(('DATOS REFERENCIALES'!$C$9)-(T20-U20-V20-W20-X20-Y20+AB20+AC20)),(('DATOS REFERENCIALES'!$C$9/1135)*H20)-(K20+N20+O20+P20+Q20+S20-U20-V20-W20-X20-Y20+AB20+AC20)))</f>
        <v>13985.331212651239</v>
      </c>
      <c r="AE20" s="127">
        <f t="shared" si="5"/>
        <v>54959.676211453741</v>
      </c>
      <c r="AF20" s="162">
        <f>'DATOS REFERENCIALES'!$C$13</f>
        <v>5141</v>
      </c>
      <c r="AG20" s="90" t="e">
        <f>IF(H20&gt;1119,'DATOS REFERENCIALES'!#REF!,'DATOS REFERENCIALES'!#REF!/1120*H20)</f>
        <v>#REF!</v>
      </c>
      <c r="AH20" s="162">
        <f>'DATOS REFERENCIALES'!C16</f>
        <v>2250</v>
      </c>
      <c r="AI20" s="144">
        <f>'DATOS REFERENCIALES'!$C$12</f>
        <v>6699</v>
      </c>
      <c r="AJ20" s="78">
        <f t="shared" si="9"/>
        <v>69049.676211453741</v>
      </c>
      <c r="AK20" s="752"/>
      <c r="AL20" s="752"/>
      <c r="AM20" s="753"/>
    </row>
    <row r="21" spans="1:39" s="1" customFormat="1" ht="22.5" customHeight="1" thickBot="1" x14ac:dyDescent="0.3">
      <c r="A21" s="83">
        <v>566</v>
      </c>
      <c r="B21" s="85" t="s">
        <v>8</v>
      </c>
      <c r="C21" s="24">
        <v>0</v>
      </c>
      <c r="D21" s="24">
        <v>1</v>
      </c>
      <c r="E21" s="24"/>
      <c r="F21" s="24"/>
      <c r="G21" s="52">
        <v>56</v>
      </c>
      <c r="H21" s="56">
        <f t="shared" si="6"/>
        <v>56</v>
      </c>
      <c r="I21" s="56"/>
      <c r="J21" s="56"/>
      <c r="K21" s="89">
        <f>(H21*'DATOS REFERENCIALES'!$C$4)*D21</f>
        <v>1063.57944</v>
      </c>
      <c r="L21" s="89"/>
      <c r="M21" s="183"/>
      <c r="N21" s="145">
        <f>LOOKUP(C21,'TABLA ANTIG.'!$A$4:$A$39,'TABLA ANTIG.'!$B$4:$B$39)*(K21+L21+M21)</f>
        <v>0</v>
      </c>
      <c r="O21" s="191">
        <f>(K21+L21+M21)*0.1</f>
        <v>106.357944</v>
      </c>
      <c r="P21" s="654">
        <f>IF(D21&gt;38,'DATOS REFERENCIALES'!D8,'DATOS REFERENCIALES'!$E$8*D21)</f>
        <v>701.21052631578948</v>
      </c>
      <c r="Q21" s="79">
        <f>LOOKUP(C21,'TABLA ANTIG.'!$A$4:$A$39,'TABLA ANTIG.'!$B$4:$B$39)*(P21)</f>
        <v>0</v>
      </c>
      <c r="R21" s="98">
        <v>0</v>
      </c>
      <c r="S21" s="504">
        <f>IF(C21&gt;11,IF(D21&gt;'DATOS REFERENCIALES'!$J$18,'DATOS REFERENCIALES'!$D$18,'DATOS REFERENCIALES'!$D$18/'DATOS REFERENCIALES'!$J$18*D21),0)</f>
        <v>0</v>
      </c>
      <c r="T21" s="331">
        <f t="shared" si="7"/>
        <v>1871.1479103157894</v>
      </c>
      <c r="U21" s="28">
        <f t="shared" si="0"/>
        <v>205.82627013473683</v>
      </c>
      <c r="V21" s="28">
        <f t="shared" si="1"/>
        <v>56.134437309473682</v>
      </c>
      <c r="W21" s="98">
        <f t="shared" si="1"/>
        <v>56.134437309473682</v>
      </c>
      <c r="X21" s="28">
        <f t="shared" si="8"/>
        <v>37.422958206315791</v>
      </c>
      <c r="Y21" s="28">
        <f t="shared" si="2"/>
        <v>84.201655964210516</v>
      </c>
      <c r="Z21" s="28">
        <f t="shared" si="3"/>
        <v>439.71975892421051</v>
      </c>
      <c r="AA21" s="128">
        <f t="shared" si="4"/>
        <v>1431.4281513915789</v>
      </c>
      <c r="AB21" s="147">
        <f>IF(D21&gt;38,'DATOS REFERENCIALES'!$D$10,'DATOS REFERENCIALES'!$E$10*D21)</f>
        <v>0</v>
      </c>
      <c r="AC21" s="585">
        <f>IF(C21&lt;12,IF(D21&gt;'DATOS REFERENCIALES'!J17,'DATOS REFERENCIALES'!D17,('DATOS REFERENCIALES'!$E$17*D21)),0)</f>
        <v>873.52631578947364</v>
      </c>
      <c r="AD21" s="128">
        <f>IF(D21&gt;41,IF((('DATOS REFERENCIALES'!$D$9)-((T21)-Z21+(AB21)+(AC21)))&lt;0,0,((('DATOS REFERENCIALES'!$D$9)-((T21)-(Z21)+(AB21)+(AC21))))),IF((('DATOS REFERENCIALES'!$E$9*D21)-(((T21)-Z21+(AB21)+(AC21))))&lt;0,0,('DATOS REFERENCIALES'!$E$9*D21)-((T21)-(Z21)+(AB21)+(AC21))))</f>
        <v>872.79553281894732</v>
      </c>
      <c r="AE21" s="128">
        <f t="shared" si="5"/>
        <v>3177.75</v>
      </c>
      <c r="AF21" s="163">
        <f>IF(D21&gt;'DATOS REFERENCIALES'!$J$13,'DATOS REFERENCIALES'!$D$13,('DATOS REFERENCIALES'!$E$13*D21))</f>
        <v>342.73333333333335</v>
      </c>
      <c r="AG21" s="163" t="e">
        <f>IF(D21&gt;'DATOS REFERENCIALES'!#REF!,'DATOS REFERENCIALES'!#REF!,('DATOS REFERENCIALES'!#REF!*D21))</f>
        <v>#REF!</v>
      </c>
      <c r="AH21" s="163">
        <f>IF(D21&gt;'DATOS REFERENCIALES'!$J$16,'DATOS REFERENCIALES'!$D$16,'DATOS REFERENCIALES'!$E$16*D21)</f>
        <v>150</v>
      </c>
      <c r="AI21" s="147">
        <f>IF(D21&gt;'DATOS REFERENCIALES'!$J$12,'DATOS REFERENCIALES'!$D$12,'DATOS REFERENCIALES'!$E$12*D21)</f>
        <v>446.6</v>
      </c>
      <c r="AJ21" s="79">
        <f t="shared" si="9"/>
        <v>4117.0833333333339</v>
      </c>
      <c r="AK21" s="754"/>
      <c r="AL21" s="754"/>
      <c r="AM21" s="755"/>
    </row>
    <row r="22" spans="1:39" s="1" customFormat="1" ht="15.6" thickBot="1" x14ac:dyDescent="0.3">
      <c r="A22" s="69"/>
      <c r="B22" s="70"/>
      <c r="C22" s="71"/>
      <c r="D22" s="71"/>
      <c r="E22" s="71"/>
      <c r="F22" s="71"/>
      <c r="G22" s="66"/>
      <c r="H22" s="43"/>
      <c r="I22" s="43"/>
      <c r="J22" s="43"/>
      <c r="K22" s="40"/>
      <c r="L22" s="40"/>
      <c r="M22" s="40"/>
      <c r="N22" s="41"/>
      <c r="O22" s="72"/>
      <c r="P22" s="40"/>
      <c r="Q22" s="41"/>
      <c r="R22" s="72"/>
      <c r="S22" s="72"/>
      <c r="T22" s="72"/>
      <c r="U22" s="72"/>
      <c r="V22" s="72"/>
      <c r="W22" s="72"/>
      <c r="X22" s="72"/>
      <c r="Y22" s="72"/>
      <c r="Z22" s="72"/>
      <c r="AA22" s="44"/>
      <c r="AB22" s="45"/>
      <c r="AC22" s="45"/>
      <c r="AD22" s="44"/>
      <c r="AE22" s="44"/>
      <c r="AF22" s="46"/>
      <c r="AG22" s="46"/>
      <c r="AH22" s="46"/>
      <c r="AI22" s="67"/>
      <c r="AJ22" s="44"/>
      <c r="AM22" s="8"/>
    </row>
    <row r="23" spans="1:39" s="1" customFormat="1" ht="21.75" customHeight="1" thickBot="1" x14ac:dyDescent="0.4">
      <c r="A23" s="93" t="s">
        <v>120</v>
      </c>
      <c r="B23" s="94"/>
      <c r="C23" s="94"/>
      <c r="D23" s="94"/>
      <c r="E23" s="94"/>
      <c r="F23" s="94"/>
      <c r="G23" s="129"/>
      <c r="H23" s="129"/>
      <c r="I23" s="129"/>
      <c r="J23" s="129"/>
      <c r="K23" s="129"/>
      <c r="L23" s="129"/>
      <c r="M23" s="129"/>
      <c r="N23" s="129"/>
      <c r="O23" s="129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137" t="s">
        <v>136</v>
      </c>
      <c r="AC23" s="519"/>
      <c r="AD23" s="138"/>
      <c r="AE23" s="139"/>
      <c r="AF23" s="139"/>
      <c r="AG23" s="139"/>
      <c r="AH23" s="139"/>
      <c r="AI23" s="139"/>
      <c r="AJ23" s="140"/>
    </row>
    <row r="24" spans="1:39" s="2" customFormat="1" ht="22.5" customHeight="1" thickBot="1" x14ac:dyDescent="0.3">
      <c r="A24" s="741" t="s">
        <v>1</v>
      </c>
      <c r="B24" s="743" t="s">
        <v>0</v>
      </c>
      <c r="C24" s="732" t="s">
        <v>77</v>
      </c>
      <c r="D24" s="732" t="s">
        <v>117</v>
      </c>
      <c r="E24" s="732" t="s">
        <v>125</v>
      </c>
      <c r="F24" s="732" t="s">
        <v>111</v>
      </c>
      <c r="G24" s="732" t="s">
        <v>102</v>
      </c>
      <c r="H24" s="732" t="s">
        <v>79</v>
      </c>
      <c r="I24" s="732" t="s">
        <v>143</v>
      </c>
      <c r="J24" s="726" t="s">
        <v>142</v>
      </c>
      <c r="K24" s="726" t="s">
        <v>119</v>
      </c>
      <c r="L24" s="726" t="s">
        <v>141</v>
      </c>
      <c r="M24" s="726" t="s">
        <v>142</v>
      </c>
      <c r="N24" s="734" t="s">
        <v>85</v>
      </c>
      <c r="O24" s="734" t="s">
        <v>118</v>
      </c>
      <c r="P24" s="736" t="s">
        <v>86</v>
      </c>
      <c r="Q24" s="734" t="s">
        <v>101</v>
      </c>
      <c r="R24" s="734" t="s">
        <v>84</v>
      </c>
      <c r="S24" s="736" t="s">
        <v>198</v>
      </c>
      <c r="T24" s="734" t="s">
        <v>69</v>
      </c>
      <c r="U24" s="745" t="s">
        <v>59</v>
      </c>
      <c r="V24" s="746"/>
      <c r="W24" s="746"/>
      <c r="X24" s="746"/>
      <c r="Y24" s="747"/>
      <c r="Z24" s="759" t="s">
        <v>68</v>
      </c>
      <c r="AA24" s="732" t="s">
        <v>89</v>
      </c>
      <c r="AB24" s="732" t="s">
        <v>88</v>
      </c>
      <c r="AC24" s="736" t="s">
        <v>199</v>
      </c>
      <c r="AD24" s="732" t="s">
        <v>87</v>
      </c>
      <c r="AE24" s="732" t="s">
        <v>91</v>
      </c>
      <c r="AF24" s="732" t="s">
        <v>90</v>
      </c>
      <c r="AG24" s="732" t="s">
        <v>182</v>
      </c>
      <c r="AH24" s="732" t="s">
        <v>197</v>
      </c>
      <c r="AI24" s="757" t="s">
        <v>195</v>
      </c>
      <c r="AJ24" s="732" t="s">
        <v>92</v>
      </c>
    </row>
    <row r="25" spans="1:39" s="2" customFormat="1" ht="93" customHeight="1" thickBot="1" x14ac:dyDescent="0.3">
      <c r="A25" s="742"/>
      <c r="B25" s="744"/>
      <c r="C25" s="733"/>
      <c r="D25" s="733"/>
      <c r="E25" s="733"/>
      <c r="F25" s="733"/>
      <c r="G25" s="733"/>
      <c r="H25" s="733"/>
      <c r="I25" s="733"/>
      <c r="J25" s="727"/>
      <c r="K25" s="727"/>
      <c r="L25" s="727"/>
      <c r="M25" s="727"/>
      <c r="N25" s="735"/>
      <c r="O25" s="735"/>
      <c r="P25" s="737"/>
      <c r="Q25" s="735"/>
      <c r="R25" s="735"/>
      <c r="S25" s="737"/>
      <c r="T25" s="735"/>
      <c r="U25" s="76" t="s">
        <v>138</v>
      </c>
      <c r="V25" s="76" t="s">
        <v>61</v>
      </c>
      <c r="W25" s="76" t="s">
        <v>62</v>
      </c>
      <c r="X25" s="76" t="s">
        <v>63</v>
      </c>
      <c r="Y25" s="76" t="s">
        <v>64</v>
      </c>
      <c r="Z25" s="760"/>
      <c r="AA25" s="733"/>
      <c r="AB25" s="733"/>
      <c r="AC25" s="758"/>
      <c r="AD25" s="756"/>
      <c r="AE25" s="733"/>
      <c r="AF25" s="733"/>
      <c r="AG25" s="733"/>
      <c r="AH25" s="756"/>
      <c r="AI25" s="733"/>
      <c r="AJ25" s="733"/>
    </row>
    <row r="26" spans="1:39" s="1" customFormat="1" ht="21.75" customHeight="1" x14ac:dyDescent="0.25">
      <c r="A26" s="333">
        <v>835</v>
      </c>
      <c r="B26" s="334" t="s">
        <v>164</v>
      </c>
      <c r="C26" s="305">
        <v>0</v>
      </c>
      <c r="D26" s="305"/>
      <c r="E26" s="306"/>
      <c r="F26" s="307"/>
      <c r="G26" s="308">
        <v>3125</v>
      </c>
      <c r="H26" s="305">
        <v>3125</v>
      </c>
      <c r="I26" s="527"/>
      <c r="J26" s="309"/>
      <c r="K26" s="310">
        <f>H26*'DATOS REFERENCIALES'!$C$4</f>
        <v>59351.53125</v>
      </c>
      <c r="L26" s="310"/>
      <c r="M26" s="335"/>
      <c r="N26" s="312">
        <f>LOOKUP(C26,'TABLA ANTIG.'!$A$4:$A$39,'TABLA ANTIG.'!$B$4:$B$39)*(K26)</f>
        <v>0</v>
      </c>
      <c r="O26" s="312">
        <f>(K26)*0.1</f>
        <v>5935.1531250000007</v>
      </c>
      <c r="P26" s="310">
        <f>IF(H26&gt;2069,'DATOS REFERENCIALES'!$D$8,IF(('DATOS REFERENCIALES'!$D$8/2070*H26)&lt;'DATOS REFERENCIALES'!$G$8,'DATOS REFERENCIALES'!$G$8))</f>
        <v>26646</v>
      </c>
      <c r="Q26" s="312">
        <f>LOOKUP(C26,'TABLA ANTIG.'!$A$4:$A$39,'TABLA ANTIG.'!$B$4:$B$39)*(P26)</f>
        <v>0</v>
      </c>
      <c r="R26" s="311">
        <v>0</v>
      </c>
      <c r="S26" s="312">
        <f>IF(C26&gt;11,IF(H26&gt;2069,'DATOS REFERENCIALES'!$D$18,IF(('DATOS REFERENCIALES'!$D$18/2070*H26)&lt;'DATOS REFERENCIALES'!$G$18,'DATOS REFERENCIALES'!$G$18,'DATOS REFERENCIALES'!$D$18/2070*H26)),0)</f>
        <v>0</v>
      </c>
      <c r="T26" s="312">
        <f>K26+L26+M26+N26+O26+P26+Q26+R26+S26</f>
        <v>91932.684374999997</v>
      </c>
      <c r="U26" s="312">
        <f t="shared" ref="U26:U33" si="10">$T26*11%</f>
        <v>10112.59528125</v>
      </c>
      <c r="V26" s="312">
        <f t="shared" ref="V26:W33" si="11">$T26*3%</f>
        <v>2757.9805312499998</v>
      </c>
      <c r="W26" s="312">
        <f t="shared" si="11"/>
        <v>2757.9805312499998</v>
      </c>
      <c r="X26" s="312">
        <f t="shared" ref="X26:X33" si="12">$T26*2%</f>
        <v>1838.6536874999999</v>
      </c>
      <c r="Y26" s="312">
        <f t="shared" ref="Y26:Y33" si="13">$T26*4.5%</f>
        <v>4136.9707968749999</v>
      </c>
      <c r="Z26" s="312">
        <f t="shared" ref="Z26:Z33" si="14">SUM(U26:Y26)</f>
        <v>21604.180828124998</v>
      </c>
      <c r="AA26" s="312">
        <f t="shared" ref="AA26:AA33" si="15">T26-Z26</f>
        <v>70328.503546874999</v>
      </c>
      <c r="AB26" s="391">
        <f>'DATOS REFERENCIALES'!$D$10</f>
        <v>0</v>
      </c>
      <c r="AC26" s="539">
        <f>IF(C26&lt;12,IF(H26&gt;2069,'DATOS REFERENCIALES'!$D$17,IF(('DATOS REFERENCIALES'!$D$17/2070*H20)&lt;'DATOS REFERENCIALES'!$G$17,'DATOS REFERENCIALES'!$G$17,('DATOS REFERENCIALES'!$D$17/2070*H20))),0)</f>
        <v>33194</v>
      </c>
      <c r="AD26" s="539">
        <f>IF((IF(H26&gt;2069,('DATOS REFERENCIALES'!$D$9-(T26-U26-V26-W26-X26-Y26+AB26+AC26)),(('DATOS REFERENCIALES'!$D$9/2070)*H26)-(K26+N26+O26+P26+Q26+S26-U26-V26-W26-X26-Y26+AB26+AC26)))&lt;0,0,IF(H26&gt;2070,(('DATOS REFERENCIALES'!$D$9)-(T26-U26-V26-W26-X26-Y26+AB26+AC26)),(('DATOS REFERENCIALES'!$D$9/2070)*H26)-(K26+N26+O26+P26+Q26+S26-U26-V26-W26-X26-Y26+AB26+AC26)))</f>
        <v>23587.496453125001</v>
      </c>
      <c r="AE26" s="312">
        <f t="shared" ref="AE26:AE33" si="16">SUM(AA26:AD26)</f>
        <v>127110</v>
      </c>
      <c r="AF26" s="337">
        <f>'DATOS REFERENCIALES'!$D$13</f>
        <v>10282</v>
      </c>
      <c r="AG26" s="317" t="e">
        <f>IF($H26&gt;2042,'DATOS REFERENCIALES'!#REF!,'DATOS REFERENCIALES'!#REF!/2043*$H26)</f>
        <v>#REF!</v>
      </c>
      <c r="AH26" s="317">
        <f>'DATOS REFERENCIALES'!D16</f>
        <v>4500</v>
      </c>
      <c r="AI26" s="312">
        <f>'DATOS REFERENCIALES'!$D$12</f>
        <v>13398</v>
      </c>
      <c r="AJ26" s="763">
        <f>+AE26+AE27+AF26+AI26+AH26</f>
        <v>165778.30584484374</v>
      </c>
      <c r="AM26" s="8"/>
    </row>
    <row r="27" spans="1:39" s="1" customFormat="1" ht="27" customHeight="1" thickBot="1" x14ac:dyDescent="0.3">
      <c r="A27" s="339">
        <v>835</v>
      </c>
      <c r="B27" s="340" t="s">
        <v>164</v>
      </c>
      <c r="C27" s="320">
        <f>IF(C26&gt;0,C26,0)</f>
        <v>0</v>
      </c>
      <c r="D27" s="320"/>
      <c r="E27" s="321"/>
      <c r="F27" s="322"/>
      <c r="G27" s="323"/>
      <c r="H27" s="320"/>
      <c r="I27" s="522">
        <f>H26*'DATOS REFERENCIALES'!$K$4/100</f>
        <v>468.75</v>
      </c>
      <c r="J27" s="324" t="s">
        <v>145</v>
      </c>
      <c r="K27" s="325"/>
      <c r="L27" s="325">
        <f>I27*'DATOS REFERENCIALES'!$C$4</f>
        <v>8902.7296874999993</v>
      </c>
      <c r="M27" s="341">
        <f>IF(J27='DATOS REFERENCIALES'!$C$31,INICIAL!K26*'DATOS REFERENCIALES'!$D$31,IF(J27='DATOS REFERENCIALES'!$C$32,('DATOS REFERENCIALES'!$D$32*INICIAL!K26),IF(J27='DATOS REFERENCIALES'!$C$33,('DATOS REFERENCIALES'!$D$33*INICIAL!K26),IF(J27='DATOS REFERENCIALES'!$C$34,('DATOS REFERENCIALES'!$D$34*INICIAL!K26),IF(J27='DATOS REFERENCIALES'!$C$35,('DATOS REFERENCIALES'!$D$35*INICIAL!K26),IF(J27='DATOS REFERENCIALES'!$C$36,('DATOS REFERENCIALES'!$D$36*INICIAL!K26),IF(J27='DATOS REFERENCIALES'!$C$37,('DATOS REFERENCIALES'!$D$37*INICIAL!K26),IF(J27='DATOS REFERENCIALES'!$C$38,('DATOS REFERENCIALES'!$D$38*INICIAL!K26),0))))))))</f>
        <v>3561.0918750000001</v>
      </c>
      <c r="N27" s="327">
        <f>LOOKUP(C27,'TABLA ANTIG.'!$A$4:$A$39,'TABLA ANTIG.'!$B$4:$B$39)*(L27+M27)</f>
        <v>0</v>
      </c>
      <c r="O27" s="327">
        <f>(L27+M27)*0.1</f>
        <v>1246.38215625</v>
      </c>
      <c r="P27" s="325"/>
      <c r="Q27" s="327"/>
      <c r="R27" s="326"/>
      <c r="S27" s="327"/>
      <c r="T27" s="327">
        <f>K27+L27+M27+N27+O27+P27+Q27+R27</f>
        <v>13710.203718749999</v>
      </c>
      <c r="U27" s="327">
        <f t="shared" si="10"/>
        <v>1508.1224090624999</v>
      </c>
      <c r="V27" s="327">
        <f t="shared" si="11"/>
        <v>411.30611156249995</v>
      </c>
      <c r="W27" s="327">
        <f t="shared" si="11"/>
        <v>411.30611156249995</v>
      </c>
      <c r="X27" s="327">
        <f t="shared" si="12"/>
        <v>274.204074375</v>
      </c>
      <c r="Y27" s="327">
        <f t="shared" si="13"/>
        <v>616.95916734374998</v>
      </c>
      <c r="Z27" s="327">
        <f t="shared" si="14"/>
        <v>3221.8978739062495</v>
      </c>
      <c r="AA27" s="327">
        <f t="shared" si="15"/>
        <v>10488.30584484375</v>
      </c>
      <c r="AB27" s="342"/>
      <c r="AC27" s="342"/>
      <c r="AD27" s="327"/>
      <c r="AE27" s="327">
        <f t="shared" si="16"/>
        <v>10488.30584484375</v>
      </c>
      <c r="AF27" s="343"/>
      <c r="AG27" s="332"/>
      <c r="AH27" s="332"/>
      <c r="AI27" s="327"/>
      <c r="AJ27" s="764"/>
      <c r="AM27" s="8"/>
    </row>
    <row r="28" spans="1:39" s="1" customFormat="1" ht="20.25" customHeight="1" x14ac:dyDescent="0.25">
      <c r="A28" s="363">
        <v>877</v>
      </c>
      <c r="B28" s="364" t="s">
        <v>165</v>
      </c>
      <c r="C28" s="245">
        <v>0</v>
      </c>
      <c r="D28" s="245"/>
      <c r="E28" s="293"/>
      <c r="F28" s="294"/>
      <c r="G28" s="295">
        <v>2667</v>
      </c>
      <c r="H28" s="245">
        <f>SUM(G28:G28)</f>
        <v>2667</v>
      </c>
      <c r="I28" s="528"/>
      <c r="J28" s="245"/>
      <c r="K28" s="247">
        <f>H28*'DATOS REFERENCIALES'!$C$4</f>
        <v>50652.970829999998</v>
      </c>
      <c r="L28" s="247"/>
      <c r="M28" s="248"/>
      <c r="N28" s="249">
        <f>LOOKUP(C28,'TABLA ANTIG.'!$A$4:$A$39,'TABLA ANTIG.'!$B$4:$B$39)*(K28)</f>
        <v>0</v>
      </c>
      <c r="O28" s="249">
        <f>(K28)*0.1</f>
        <v>5065.2970830000004</v>
      </c>
      <c r="P28" s="247">
        <f>IF(H28&gt;2069,'DATOS REFERENCIALES'!$D$8,IF(('DATOS REFERENCIALES'!$D$8/2070*H28)&lt;'DATOS REFERENCIALES'!$G$8,'DATOS REFERENCIALES'!$G$8))</f>
        <v>26646</v>
      </c>
      <c r="Q28" s="249">
        <f>LOOKUP(C28,'TABLA ANTIG.'!$A$4:$A$39,'TABLA ANTIG.'!$B$4:$B$39)*(P28)</f>
        <v>0</v>
      </c>
      <c r="R28" s="253">
        <v>0</v>
      </c>
      <c r="S28" s="249">
        <f>IF(C28&gt;11,IF(H28&gt;2069,'DATOS REFERENCIALES'!$D$18,IF(('DATOS REFERENCIALES'!$D$18/2070*H28)&lt;'DATOS REFERENCIALES'!$G$18,'DATOS REFERENCIALES'!$G$18,'DATOS REFERENCIALES'!$D$18/2070*H28)),0)</f>
        <v>0</v>
      </c>
      <c r="T28" s="249">
        <f>K28+L28+M28+N28+O28+P28+Q28+R28+S28</f>
        <v>82364.267912999989</v>
      </c>
      <c r="U28" s="249">
        <f t="shared" si="10"/>
        <v>9060.0694704299985</v>
      </c>
      <c r="V28" s="249">
        <f t="shared" si="11"/>
        <v>2470.9280373899996</v>
      </c>
      <c r="W28" s="249">
        <f t="shared" si="11"/>
        <v>2470.9280373899996</v>
      </c>
      <c r="X28" s="249">
        <f t="shared" si="12"/>
        <v>1647.2853582599998</v>
      </c>
      <c r="Y28" s="249">
        <f t="shared" si="13"/>
        <v>3706.3920560849992</v>
      </c>
      <c r="Z28" s="249">
        <f t="shared" si="14"/>
        <v>19355.602959554999</v>
      </c>
      <c r="AA28" s="249">
        <f t="shared" si="15"/>
        <v>63008.66495344499</v>
      </c>
      <c r="AB28" s="383">
        <f>'DATOS REFERENCIALES'!$D$10</f>
        <v>0</v>
      </c>
      <c r="AC28" s="382">
        <f>IF(C28&lt;12,IF(H28&gt;2069,'DATOS REFERENCIALES'!$D$17,IF(('DATOS REFERENCIALES'!$D$17/2070*H22)&lt;'DATOS REFERENCIALES'!$G$17,'DATOS REFERENCIALES'!$G$17,('DATOS REFERENCIALES'!$D$17/2070*H22))),0)</f>
        <v>33194</v>
      </c>
      <c r="AD28" s="382">
        <f>IF((IF(H28&gt;2069,('DATOS REFERENCIALES'!$D$9-(T28-U28-V28-W28-X28-Y28+AB28+AC28)),(('DATOS REFERENCIALES'!$D$9/2070)*H28)-(K28+N28+O28+P28+Q28+S28-U28-V28-W28-X28-Y28+AB28+AC28)))&lt;0,0,IF(H28&gt;2070,(('DATOS REFERENCIALES'!$D$9)-(T28-U28-V28-W28-X28-Y28+AB28+AC28)),(('DATOS REFERENCIALES'!$D$9/2070)*H28)-(K28+N28+O28+P28+Q28+S28-U28-V28-W28-X28-Y28+AB28+AC28)))</f>
        <v>30907.335046555003</v>
      </c>
      <c r="AE28" s="249">
        <f t="shared" si="16"/>
        <v>127110</v>
      </c>
      <c r="AF28" s="365">
        <f>'DATOS REFERENCIALES'!$D$13</f>
        <v>10282</v>
      </c>
      <c r="AG28" s="254" t="e">
        <f>IF($H28&gt;2042,'DATOS REFERENCIALES'!#REF!,'DATOS REFERENCIALES'!#REF!/2043*$H28)</f>
        <v>#REF!</v>
      </c>
      <c r="AH28" s="254">
        <f>'DATOS REFERENCIALES'!D16</f>
        <v>4500</v>
      </c>
      <c r="AI28" s="249">
        <f>'DATOS REFERENCIALES'!$D$12</f>
        <v>13398</v>
      </c>
      <c r="AJ28" s="765">
        <f>+AE28+AE29+AF28+AI28+AH28</f>
        <v>161683.67124301675</v>
      </c>
      <c r="AM28" s="8"/>
    </row>
    <row r="29" spans="1:39" s="1" customFormat="1" ht="20.25" customHeight="1" thickBot="1" x14ac:dyDescent="0.3">
      <c r="A29" s="367">
        <v>877</v>
      </c>
      <c r="B29" s="368" t="s">
        <v>165</v>
      </c>
      <c r="C29" s="257">
        <f>IF(C28&gt;0,C28,0)</f>
        <v>0</v>
      </c>
      <c r="D29" s="296"/>
      <c r="E29" s="297"/>
      <c r="F29" s="298"/>
      <c r="G29" s="299"/>
      <c r="H29" s="296"/>
      <c r="I29" s="529">
        <f>H28*'DATOS REFERENCIALES'!$K$4/100</f>
        <v>400.05</v>
      </c>
      <c r="J29" s="296"/>
      <c r="K29" s="300"/>
      <c r="L29" s="300">
        <f>I29*'DATOS REFERENCIALES'!$C$4</f>
        <v>7597.9456245000001</v>
      </c>
      <c r="M29" s="369"/>
      <c r="N29" s="268">
        <f>LOOKUP(C29,'TABLA ANTIG.'!$A$4:$A$39,'TABLA ANTIG.'!$B$4:$B$39)*(L29+M29)</f>
        <v>0</v>
      </c>
      <c r="O29" s="268">
        <f>(L29+M29)*0.1</f>
        <v>759.79456245000006</v>
      </c>
      <c r="P29" s="300"/>
      <c r="Q29" s="268"/>
      <c r="R29" s="266"/>
      <c r="S29" s="301"/>
      <c r="T29" s="268">
        <f>K29+L29+M29+N29+O29+P29+Q29+R29</f>
        <v>8357.7401869500009</v>
      </c>
      <c r="U29" s="268">
        <f t="shared" si="10"/>
        <v>919.35142056450013</v>
      </c>
      <c r="V29" s="268">
        <f t="shared" si="11"/>
        <v>250.73220560850001</v>
      </c>
      <c r="W29" s="268">
        <f t="shared" si="11"/>
        <v>250.73220560850001</v>
      </c>
      <c r="X29" s="268">
        <f t="shared" si="12"/>
        <v>167.15480373900002</v>
      </c>
      <c r="Y29" s="268">
        <f t="shared" si="13"/>
        <v>376.09830841275004</v>
      </c>
      <c r="Z29" s="268">
        <f t="shared" si="14"/>
        <v>1964.06894393325</v>
      </c>
      <c r="AA29" s="268">
        <f t="shared" si="15"/>
        <v>6393.6712430167509</v>
      </c>
      <c r="AB29" s="370"/>
      <c r="AC29" s="370"/>
      <c r="AD29" s="268"/>
      <c r="AE29" s="268">
        <f t="shared" si="16"/>
        <v>6393.6712430167509</v>
      </c>
      <c r="AF29" s="371"/>
      <c r="AG29" s="481"/>
      <c r="AH29" s="481"/>
      <c r="AI29" s="268"/>
      <c r="AJ29" s="766"/>
      <c r="AM29" s="8"/>
    </row>
    <row r="30" spans="1:39" s="1" customFormat="1" ht="23.25" customHeight="1" x14ac:dyDescent="0.25">
      <c r="A30" s="359">
        <v>838</v>
      </c>
      <c r="B30" s="360" t="s">
        <v>4</v>
      </c>
      <c r="C30" s="271">
        <v>0</v>
      </c>
      <c r="D30" s="271"/>
      <c r="E30" s="346"/>
      <c r="F30" s="347"/>
      <c r="G30" s="348">
        <v>2359</v>
      </c>
      <c r="H30" s="271">
        <f>SUM(G30:G30)</f>
        <v>2359</v>
      </c>
      <c r="I30" s="524"/>
      <c r="J30" s="271"/>
      <c r="K30" s="273">
        <f>H30*'DATOS REFERENCIALES'!$C$4</f>
        <v>44803.283909999998</v>
      </c>
      <c r="L30" s="273"/>
      <c r="M30" s="274"/>
      <c r="N30" s="275">
        <f>LOOKUP(C30,'TABLA ANTIG.'!$A$4:$A$39,'TABLA ANTIG.'!$B$4:$B$39)*(K30+L30+M30)</f>
        <v>0</v>
      </c>
      <c r="O30" s="275">
        <f>(K30)*0.1</f>
        <v>4480.328391</v>
      </c>
      <c r="P30" s="273">
        <f>IF(H30&gt;2069,'DATOS REFERENCIALES'!$D$8,IF(('DATOS REFERENCIALES'!$D$8/2070*H30)&lt;'DATOS REFERENCIALES'!$G$8,'DATOS REFERENCIALES'!$G$8))</f>
        <v>26646</v>
      </c>
      <c r="Q30" s="275">
        <f>LOOKUP(C30,'TABLA ANTIG.'!$A$4:$A$39,'TABLA ANTIG.'!$B$4:$B$39)*(P30)</f>
        <v>0</v>
      </c>
      <c r="R30" s="277">
        <v>0</v>
      </c>
      <c r="S30" s="275">
        <f>IF(C30&gt;11,IF(H30&gt;2069,'DATOS REFERENCIALES'!$D$18,IF(('DATOS REFERENCIALES'!$D$18/2070*H30)&lt;'DATOS REFERENCIALES'!$G$18,'DATOS REFERENCIALES'!$G$18,'DATOS REFERENCIALES'!$D$18/2070*H30)),0)</f>
        <v>0</v>
      </c>
      <c r="T30" s="275">
        <f>K30+L30+M30+N30+O30+P30+Q30+R30+S30</f>
        <v>75929.612301000001</v>
      </c>
      <c r="U30" s="275">
        <f t="shared" si="10"/>
        <v>8352.2573531100006</v>
      </c>
      <c r="V30" s="275">
        <f t="shared" si="11"/>
        <v>2277.8883690299999</v>
      </c>
      <c r="W30" s="275">
        <f t="shared" si="11"/>
        <v>2277.8883690299999</v>
      </c>
      <c r="X30" s="275">
        <f t="shared" si="12"/>
        <v>1518.5922460199999</v>
      </c>
      <c r="Y30" s="275">
        <f t="shared" si="13"/>
        <v>3416.8325535449999</v>
      </c>
      <c r="Z30" s="275">
        <f t="shared" si="14"/>
        <v>17843.458890735001</v>
      </c>
      <c r="AA30" s="275">
        <f t="shared" si="15"/>
        <v>58086.153410265004</v>
      </c>
      <c r="AB30" s="379">
        <f>'DATOS REFERENCIALES'!$D$10</f>
        <v>0</v>
      </c>
      <c r="AC30" s="378">
        <f>IF(C30&lt;12,IF(H30&gt;2069,'DATOS REFERENCIALES'!$D$17,IF(('DATOS REFERENCIALES'!$D$17/2070*H24)&lt;'DATOS REFERENCIALES'!$G$17,'DATOS REFERENCIALES'!$G$17,('DATOS REFERENCIALES'!$D$17/2070*H24))),0)</f>
        <v>33194</v>
      </c>
      <c r="AD30" s="378">
        <f>IF((IF(H30&gt;2069,('DATOS REFERENCIALES'!$D$9-(T30-U30-V30-W30-X30-Y30+AB30+AC30)),(('DATOS REFERENCIALES'!$D$9/2070)*H30)-(K30+N30+O30+P30+Q30+S30-U30-V30-W30-X30-Y30+AB30+AC30)))&lt;0,0,IF(H30&gt;2070,(('DATOS REFERENCIALES'!$D$9)-(T30-U30-V30-W30-X30-Y30+AB30+AC30)),(('DATOS REFERENCIALES'!$D$9/2070)*H30)-(K30+N30+O30+P30+Q30+S30-U30-V30-W30-X30-Y30+AB30+AC30)))</f>
        <v>35829.846589735011</v>
      </c>
      <c r="AE30" s="275">
        <f t="shared" si="16"/>
        <v>127110.00000000001</v>
      </c>
      <c r="AF30" s="350">
        <f>'DATOS REFERENCIALES'!$D$13</f>
        <v>10282</v>
      </c>
      <c r="AG30" s="279" t="e">
        <f>IF($H30&gt;2042,'DATOS REFERENCIALES'!#REF!,'DATOS REFERENCIALES'!#REF!/2043*$H30)</f>
        <v>#REF!</v>
      </c>
      <c r="AH30" s="279">
        <f>'DATOS REFERENCIALES'!D16</f>
        <v>4500</v>
      </c>
      <c r="AI30" s="275">
        <f>'DATOS REFERENCIALES'!$D$12</f>
        <v>13398</v>
      </c>
      <c r="AJ30" s="761">
        <f>+AE30+AE31+AF30+AI30+AH30</f>
        <v>160945.29451153977</v>
      </c>
      <c r="AM30" s="8"/>
    </row>
    <row r="31" spans="1:39" s="1" customFormat="1" ht="23.25" customHeight="1" thickBot="1" x14ac:dyDescent="0.3">
      <c r="A31" s="361">
        <v>838</v>
      </c>
      <c r="B31" s="362" t="s">
        <v>4</v>
      </c>
      <c r="C31" s="282">
        <f>IF(C30&gt;0,C30,0)</f>
        <v>0</v>
      </c>
      <c r="D31" s="282"/>
      <c r="E31" s="353"/>
      <c r="F31" s="354"/>
      <c r="G31" s="355"/>
      <c r="H31" s="282"/>
      <c r="I31" s="525">
        <f>H30*'DATOS REFERENCIALES'!$K$4/100</f>
        <v>353.85</v>
      </c>
      <c r="J31" s="282"/>
      <c r="K31" s="284"/>
      <c r="L31" s="284">
        <f>I31*'DATOS REFERENCIALES'!$C$4</f>
        <v>6720.4925865000005</v>
      </c>
      <c r="M31" s="285"/>
      <c r="N31" s="288">
        <f>LOOKUP(C31,'TABLA ANTIG.'!$A$4:$A$39,'TABLA ANTIG.'!$B$4:$B$39)*(K31+L31+M31)</f>
        <v>0</v>
      </c>
      <c r="O31" s="288">
        <f>(L31+M31)*0.1</f>
        <v>672.04925865000007</v>
      </c>
      <c r="P31" s="284"/>
      <c r="Q31" s="288"/>
      <c r="R31" s="290"/>
      <c r="S31" s="505"/>
      <c r="T31" s="288">
        <f>K31+L31+M31+N31+O31+P31+Q31+R31</f>
        <v>7392.5418451500009</v>
      </c>
      <c r="U31" s="288">
        <f t="shared" si="10"/>
        <v>813.17960296650006</v>
      </c>
      <c r="V31" s="288">
        <f t="shared" si="11"/>
        <v>221.77625535450002</v>
      </c>
      <c r="W31" s="288">
        <f t="shared" si="11"/>
        <v>221.77625535450002</v>
      </c>
      <c r="X31" s="288">
        <f t="shared" si="12"/>
        <v>147.85083690300002</v>
      </c>
      <c r="Y31" s="288">
        <f t="shared" si="13"/>
        <v>332.66438303175005</v>
      </c>
      <c r="Z31" s="288">
        <f t="shared" si="14"/>
        <v>1737.2473336102503</v>
      </c>
      <c r="AA31" s="288">
        <f t="shared" si="15"/>
        <v>5655.2945115397506</v>
      </c>
      <c r="AB31" s="356"/>
      <c r="AC31" s="356"/>
      <c r="AD31" s="288"/>
      <c r="AE31" s="288">
        <f t="shared" si="16"/>
        <v>5655.2945115397506</v>
      </c>
      <c r="AF31" s="357"/>
      <c r="AG31" s="292"/>
      <c r="AH31" s="292"/>
      <c r="AI31" s="288"/>
      <c r="AJ31" s="762"/>
      <c r="AM31" s="8"/>
    </row>
    <row r="32" spans="1:39" s="1" customFormat="1" ht="21" customHeight="1" x14ac:dyDescent="0.25">
      <c r="A32" s="156">
        <v>906</v>
      </c>
      <c r="B32" s="198" t="s">
        <v>54</v>
      </c>
      <c r="C32" s="117">
        <v>0</v>
      </c>
      <c r="D32" s="117"/>
      <c r="E32" s="199"/>
      <c r="F32" s="117"/>
      <c r="G32" s="201">
        <v>2240</v>
      </c>
      <c r="H32" s="117">
        <f>SUM(G32:G32)</f>
        <v>2240</v>
      </c>
      <c r="I32" s="526"/>
      <c r="J32" s="117"/>
      <c r="K32" s="103">
        <f>H32*'DATOS REFERENCIALES'!$C$4</f>
        <v>42543.177600000003</v>
      </c>
      <c r="L32" s="103"/>
      <c r="M32" s="193"/>
      <c r="N32" s="104">
        <f>LOOKUP(C32,'TABLA ANTIG.'!$A$4:$A$39,'TABLA ANTIG.'!$B$4:$B$39)*(K32+L32+M32)</f>
        <v>0</v>
      </c>
      <c r="O32" s="111">
        <f>(K32+L32+M32)*0.1</f>
        <v>4254.3177600000008</v>
      </c>
      <c r="P32" s="103">
        <f>IF(H32&gt;2069,'DATOS REFERENCIALES'!$D$8,IF(('DATOS REFERENCIALES'!$D$8/2070*H32)&lt;'DATOS REFERENCIALES'!$G$8,'DATOS REFERENCIALES'!$G$8))</f>
        <v>26646</v>
      </c>
      <c r="Q32" s="104">
        <f>LOOKUP(C32,'TABLA ANTIG.'!$A$4:$A$39,'TABLA ANTIG.'!$B$4:$B$39)*(P32)</f>
        <v>0</v>
      </c>
      <c r="R32" s="196">
        <v>0</v>
      </c>
      <c r="S32" s="497">
        <f>IF(C32&gt;11,IF(H32&gt;2069,'DATOS REFERENCIALES'!$D$18,IF(('DATOS REFERENCIALES'!$D$18/2070*H32)&lt;'DATOS REFERENCIALES'!$G$18,'DATOS REFERENCIALES'!$G$18,'DATOS REFERENCIALES'!$D$18/2070*H32)),0)</f>
        <v>0</v>
      </c>
      <c r="T32" s="587">
        <f>K32+L32+M32+N32+O32+P32+Q32+R32+S32</f>
        <v>73443.495360000001</v>
      </c>
      <c r="U32" s="104">
        <f t="shared" si="10"/>
        <v>8078.7844895999997</v>
      </c>
      <c r="V32" s="104">
        <f t="shared" si="11"/>
        <v>2203.3048607999999</v>
      </c>
      <c r="W32" s="104">
        <f t="shared" si="11"/>
        <v>2203.3048607999999</v>
      </c>
      <c r="X32" s="104">
        <f t="shared" si="12"/>
        <v>1468.8699071999999</v>
      </c>
      <c r="Y32" s="104">
        <f t="shared" si="13"/>
        <v>3304.9572911999999</v>
      </c>
      <c r="Z32" s="111">
        <f t="shared" si="14"/>
        <v>17259.221409599999</v>
      </c>
      <c r="AA32" s="104">
        <f t="shared" si="15"/>
        <v>56184.273950400006</v>
      </c>
      <c r="AB32" s="144">
        <f>'DATOS REFERENCIALES'!$D$10</f>
        <v>0</v>
      </c>
      <c r="AC32" s="78">
        <f>IF(C32&lt;12,IF(H32&gt;2069,'DATOS REFERENCIALES'!$D$17,IF(('DATOS REFERENCIALES'!$D$17/2070*H26)&lt;'DATOS REFERENCIALES'!$G$17,'DATOS REFERENCIALES'!$G$17,('DATOS REFERENCIALES'!$D$17/2070*H26))),0)</f>
        <v>33194</v>
      </c>
      <c r="AD32" s="78">
        <f>IF((IF(H32&gt;2069,('DATOS REFERENCIALES'!$D$9-(T32-U32-V32-W32-X32-Y32+AB32+AC32)),(('DATOS REFERENCIALES'!$D$9/2070)*H32)-(K32+N32+O32+P32+Q32+S32-U32-V32-W32-X32-Y32+AB32+AC32)))&lt;0,0,IF(H32&gt;2070,(('DATOS REFERENCIALES'!$D$9)-(T32-U32-V32-W32-X32-Y32+AB32+AC32)),(('DATOS REFERENCIALES'!$D$9/2070)*H32)-(K32+N32+O32+P32+Q32+S32-U32-V32-W32-X32-Y32+AB32+AC32)))</f>
        <v>37731.726049600009</v>
      </c>
      <c r="AE32" s="104">
        <f t="shared" si="16"/>
        <v>127110.00000000001</v>
      </c>
      <c r="AF32" s="195">
        <f>'DATOS REFERENCIALES'!$D$13</f>
        <v>10282</v>
      </c>
      <c r="AG32" s="482" t="e">
        <f>IF($H32&gt;2042,'DATOS REFERENCIALES'!#REF!,'DATOS REFERENCIALES'!#REF!/2043*$H32)</f>
        <v>#REF!</v>
      </c>
      <c r="AH32" s="482">
        <f>'DATOS REFERENCIALES'!D16</f>
        <v>4500</v>
      </c>
      <c r="AI32" s="104">
        <f>'DATOS REFERENCIALES'!$D$12</f>
        <v>13398</v>
      </c>
      <c r="AJ32" s="77">
        <f>+AE32+AF32+AI32+AH32</f>
        <v>155290</v>
      </c>
      <c r="AM32" s="8"/>
    </row>
    <row r="33" spans="1:39" s="1" customFormat="1" ht="21.75" customHeight="1" thickBot="1" x14ac:dyDescent="0.3">
      <c r="A33" s="74">
        <v>566</v>
      </c>
      <c r="B33" s="75" t="s">
        <v>9</v>
      </c>
      <c r="C33" s="56">
        <v>0</v>
      </c>
      <c r="D33" s="24">
        <v>1</v>
      </c>
      <c r="E33" s="200"/>
      <c r="F33" s="56"/>
      <c r="G33" s="202">
        <v>56</v>
      </c>
      <c r="H33" s="56">
        <f>SUM(G33:G33)</f>
        <v>56</v>
      </c>
      <c r="I33" s="530"/>
      <c r="J33" s="56"/>
      <c r="K33" s="89">
        <f>(H33*'DATOS REFERENCIALES'!$C$4)*D33</f>
        <v>1063.57944</v>
      </c>
      <c r="L33" s="89"/>
      <c r="M33" s="183"/>
      <c r="N33" s="79">
        <f>LOOKUP(C33,'TABLA ANTIG.'!$A$4:$A$39,'TABLA ANTIG.'!$B$4:$B$39)*(K33+L33+M33)</f>
        <v>0</v>
      </c>
      <c r="O33" s="28">
        <f>(K33+L33+M33)*0.1</f>
        <v>106.357944</v>
      </c>
      <c r="P33" s="654">
        <f>IF(D33&gt;38,'DATOS REFERENCIALES'!D8,'DATOS REFERENCIALES'!$E$8*D33)</f>
        <v>701.21052631578948</v>
      </c>
      <c r="Q33" s="79">
        <f>LOOKUP(C33,'TABLA ANTIG.'!$A$4:$A$39,'TABLA ANTIG.'!$B$4:$B$39)*(P33)</f>
        <v>0</v>
      </c>
      <c r="R33" s="203">
        <v>0</v>
      </c>
      <c r="S33" s="504">
        <f>IF(C33&gt;11,IF(D33&gt;'DATOS REFERENCIALES'!$J$18,'DATOS REFERENCIALES'!$D$18,'DATOS REFERENCIALES'!$D$18/'DATOS REFERENCIALES'!$J$18*D33),0)</f>
        <v>0</v>
      </c>
      <c r="T33" s="331">
        <f>K33+L33+M33+N33+O33+P33+Q33+R33+S33</f>
        <v>1871.1479103157894</v>
      </c>
      <c r="U33" s="28">
        <f t="shared" si="10"/>
        <v>205.82627013473683</v>
      </c>
      <c r="V33" s="28">
        <f t="shared" si="11"/>
        <v>56.134437309473682</v>
      </c>
      <c r="W33" s="28">
        <f t="shared" si="11"/>
        <v>56.134437309473682</v>
      </c>
      <c r="X33" s="28">
        <f t="shared" si="12"/>
        <v>37.422958206315791</v>
      </c>
      <c r="Y33" s="28">
        <f t="shared" si="13"/>
        <v>84.201655964210516</v>
      </c>
      <c r="Z33" s="28">
        <f t="shared" si="14"/>
        <v>439.71975892421051</v>
      </c>
      <c r="AA33" s="79">
        <f t="shared" si="15"/>
        <v>1431.4281513915789</v>
      </c>
      <c r="AB33" s="79">
        <f>IF(D33&gt;38,'DATOS REFERENCIALES'!$D$10,'DATOS REFERENCIALES'!$E$10*D33)</f>
        <v>0</v>
      </c>
      <c r="AC33" s="585">
        <f>IF(C33&lt;12,IF(D33&gt;'DATOS REFERENCIALES'!J17,'DATOS REFERENCIALES'!D17,('DATOS REFERENCIALES'!$E$17*D33)),0)</f>
        <v>873.52631578947364</v>
      </c>
      <c r="AD33" s="79">
        <f>IF(D33&gt;41,IF((('DATOS REFERENCIALES'!$D$9)-((T33)-Z33+(AB33)+(AC33)))&lt;0,0,((('DATOS REFERENCIALES'!$D$9)-((T33)-(Z33)+(AB33)+(AC33))))),IF((('DATOS REFERENCIALES'!$E$9*D33)-(((T33)-Z33+(AB33)+(AC33))))&lt;0,0,('DATOS REFERENCIALES'!$E$9*D33)-((T33)-(Z33)+(AB33)+(AC33))))</f>
        <v>872.79553281894732</v>
      </c>
      <c r="AE33" s="79">
        <f t="shared" si="16"/>
        <v>3177.75</v>
      </c>
      <c r="AF33" s="163">
        <f>IF(D33&gt;'DATOS REFERENCIALES'!$J$13,'DATOS REFERENCIALES'!$D$13,('DATOS REFERENCIALES'!$E$13*D33))</f>
        <v>342.73333333333335</v>
      </c>
      <c r="AG33" s="91" t="e">
        <f>IF(D33&gt;'DATOS REFERENCIALES'!#REF!,'DATOS REFERENCIALES'!#REF!,('DATOS REFERENCIALES'!#REF!*D33))</f>
        <v>#REF!</v>
      </c>
      <c r="AH33" s="163">
        <f>IF(D33&gt;'DATOS REFERENCIALES'!$J$16,'DATOS REFERENCIALES'!$D$16,'DATOS REFERENCIALES'!$E$16*D33)</f>
        <v>150</v>
      </c>
      <c r="AI33" s="79">
        <f>IF(D33&gt;'DATOS REFERENCIALES'!$J$12,'DATOS REFERENCIALES'!$D$12,'DATOS REFERENCIALES'!$E$12*D33)</f>
        <v>446.6</v>
      </c>
      <c r="AJ33" s="79">
        <f>+AE33+AF33+AI33+AH33</f>
        <v>4117.0833333333339</v>
      </c>
      <c r="AM33" s="8"/>
    </row>
  </sheetData>
  <dataConsolidate/>
  <mergeCells count="75">
    <mergeCell ref="AF9:AF10"/>
    <mergeCell ref="AJ30:AJ31"/>
    <mergeCell ref="AJ11:AJ12"/>
    <mergeCell ref="AJ13:AJ14"/>
    <mergeCell ref="AJ15:AJ16"/>
    <mergeCell ref="AJ26:AJ27"/>
    <mergeCell ref="AJ24:AJ25"/>
    <mergeCell ref="AH9:AH10"/>
    <mergeCell ref="AH24:AH25"/>
    <mergeCell ref="AJ28:AJ29"/>
    <mergeCell ref="AF24:AF25"/>
    <mergeCell ref="N9:N10"/>
    <mergeCell ref="I24:I25"/>
    <mergeCell ref="J9:J10"/>
    <mergeCell ref="J24:J25"/>
    <mergeCell ref="AC9:AC10"/>
    <mergeCell ref="AC24:AC25"/>
    <mergeCell ref="AA9:AA10"/>
    <mergeCell ref="T9:T10"/>
    <mergeCell ref="S9:S10"/>
    <mergeCell ref="S24:S25"/>
    <mergeCell ref="AB24:AB25"/>
    <mergeCell ref="G9:G10"/>
    <mergeCell ref="H9:H10"/>
    <mergeCell ref="E9:E10"/>
    <mergeCell ref="F9:F10"/>
    <mergeCell ref="D24:D25"/>
    <mergeCell ref="AK11:AM21"/>
    <mergeCell ref="O24:O25"/>
    <mergeCell ref="AD24:AD25"/>
    <mergeCell ref="AJ9:AJ10"/>
    <mergeCell ref="AD9:AD10"/>
    <mergeCell ref="AE24:AE25"/>
    <mergeCell ref="AE9:AE10"/>
    <mergeCell ref="AI9:AI10"/>
    <mergeCell ref="AI24:AI25"/>
    <mergeCell ref="AG9:AG10"/>
    <mergeCell ref="AG24:AG25"/>
    <mergeCell ref="Q9:Q10"/>
    <mergeCell ref="Q24:Q25"/>
    <mergeCell ref="AB9:AB10"/>
    <mergeCell ref="P9:P10"/>
    <mergeCell ref="Z24:Z25"/>
    <mergeCell ref="A9:A10"/>
    <mergeCell ref="B9:B10"/>
    <mergeCell ref="P24:P25"/>
    <mergeCell ref="U9:Y9"/>
    <mergeCell ref="Z9:Z10"/>
    <mergeCell ref="A24:A25"/>
    <mergeCell ref="N24:N25"/>
    <mergeCell ref="B24:B25"/>
    <mergeCell ref="K24:K25"/>
    <mergeCell ref="U24:Y24"/>
    <mergeCell ref="D9:D10"/>
    <mergeCell ref="C9:C10"/>
    <mergeCell ref="K9:K10"/>
    <mergeCell ref="R24:R25"/>
    <mergeCell ref="R9:R10"/>
    <mergeCell ref="O9:O10"/>
    <mergeCell ref="K3:AA5"/>
    <mergeCell ref="L24:L25"/>
    <mergeCell ref="M24:M25"/>
    <mergeCell ref="A6:AJ6"/>
    <mergeCell ref="A7:AJ7"/>
    <mergeCell ref="AB8:AJ8"/>
    <mergeCell ref="G24:G25"/>
    <mergeCell ref="H24:H25"/>
    <mergeCell ref="L9:L10"/>
    <mergeCell ref="C24:C25"/>
    <mergeCell ref="E24:E25"/>
    <mergeCell ref="F24:F25"/>
    <mergeCell ref="AA24:AA25"/>
    <mergeCell ref="T24:T25"/>
    <mergeCell ref="M9:M10"/>
    <mergeCell ref="I9:I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'DATOS REFERENCIALES'!$C$31:$C$38</xm:f>
          </x14:formula1>
          <xm:sqref>J27 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63"/>
  <sheetViews>
    <sheetView topLeftCell="A40" workbookViewId="0">
      <selection activeCell="F5" sqref="F5"/>
    </sheetView>
  </sheetViews>
  <sheetFormatPr baseColWidth="10" defaultRowHeight="13.2" x14ac:dyDescent="0.25"/>
  <sheetData>
    <row r="4" spans="1:1" ht="20.399999999999999" x14ac:dyDescent="0.35">
      <c r="A4" s="159">
        <v>1</v>
      </c>
    </row>
    <row r="5" spans="1:1" ht="20.399999999999999" x14ac:dyDescent="0.35">
      <c r="A5" s="159">
        <v>2</v>
      </c>
    </row>
    <row r="6" spans="1:1" ht="20.399999999999999" x14ac:dyDescent="0.35">
      <c r="A6" s="159">
        <v>3</v>
      </c>
    </row>
    <row r="7" spans="1:1" ht="20.399999999999999" x14ac:dyDescent="0.35">
      <c r="A7" s="159">
        <v>4</v>
      </c>
    </row>
    <row r="8" spans="1:1" ht="20.399999999999999" x14ac:dyDescent="0.35">
      <c r="A8" s="159">
        <v>5</v>
      </c>
    </row>
    <row r="9" spans="1:1" ht="20.399999999999999" x14ac:dyDescent="0.35">
      <c r="A9" s="159">
        <v>6</v>
      </c>
    </row>
    <row r="10" spans="1:1" ht="20.399999999999999" x14ac:dyDescent="0.35">
      <c r="A10" s="159">
        <v>7</v>
      </c>
    </row>
    <row r="11" spans="1:1" ht="20.399999999999999" x14ac:dyDescent="0.35">
      <c r="A11" s="159">
        <v>8</v>
      </c>
    </row>
    <row r="12" spans="1:1" ht="20.399999999999999" x14ac:dyDescent="0.35">
      <c r="A12" s="159">
        <v>9</v>
      </c>
    </row>
    <row r="13" spans="1:1" ht="20.399999999999999" x14ac:dyDescent="0.35">
      <c r="A13" s="159">
        <v>10</v>
      </c>
    </row>
    <row r="14" spans="1:1" ht="20.399999999999999" x14ac:dyDescent="0.35">
      <c r="A14" s="159">
        <v>11</v>
      </c>
    </row>
    <row r="15" spans="1:1" ht="20.399999999999999" x14ac:dyDescent="0.35">
      <c r="A15" s="159">
        <v>12</v>
      </c>
    </row>
    <row r="16" spans="1:1" ht="20.399999999999999" x14ac:dyDescent="0.35">
      <c r="A16" s="159">
        <v>13</v>
      </c>
    </row>
    <row r="17" spans="1:1" ht="20.399999999999999" x14ac:dyDescent="0.35">
      <c r="A17" s="159">
        <v>14</v>
      </c>
    </row>
    <row r="18" spans="1:1" ht="20.399999999999999" x14ac:dyDescent="0.35">
      <c r="A18" s="159">
        <v>15</v>
      </c>
    </row>
    <row r="19" spans="1:1" ht="20.399999999999999" x14ac:dyDescent="0.35">
      <c r="A19" s="159">
        <v>16</v>
      </c>
    </row>
    <row r="20" spans="1:1" ht="20.399999999999999" x14ac:dyDescent="0.35">
      <c r="A20" s="159">
        <v>17</v>
      </c>
    </row>
    <row r="21" spans="1:1" ht="20.399999999999999" x14ac:dyDescent="0.35">
      <c r="A21" s="159">
        <v>18</v>
      </c>
    </row>
    <row r="22" spans="1:1" ht="20.399999999999999" x14ac:dyDescent="0.35">
      <c r="A22" s="159">
        <v>19</v>
      </c>
    </row>
    <row r="23" spans="1:1" ht="20.399999999999999" x14ac:dyDescent="0.35">
      <c r="A23" s="159">
        <v>20</v>
      </c>
    </row>
    <row r="24" spans="1:1" ht="20.399999999999999" x14ac:dyDescent="0.35">
      <c r="A24" s="159">
        <v>21</v>
      </c>
    </row>
    <row r="25" spans="1:1" ht="20.399999999999999" x14ac:dyDescent="0.35">
      <c r="A25" s="159">
        <v>22</v>
      </c>
    </row>
    <row r="26" spans="1:1" ht="20.399999999999999" x14ac:dyDescent="0.35">
      <c r="A26" s="159">
        <v>23</v>
      </c>
    </row>
    <row r="27" spans="1:1" ht="20.399999999999999" x14ac:dyDescent="0.35">
      <c r="A27" s="159">
        <v>24</v>
      </c>
    </row>
    <row r="28" spans="1:1" ht="20.399999999999999" x14ac:dyDescent="0.35">
      <c r="A28" s="159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5"/>
  <sheetViews>
    <sheetView zoomScale="70" zoomScaleNormal="70" workbookViewId="0">
      <selection activeCell="A7" sqref="A7:AK7"/>
    </sheetView>
  </sheetViews>
  <sheetFormatPr baseColWidth="10" defaultRowHeight="13.2" x14ac:dyDescent="0.25"/>
  <cols>
    <col min="1" max="1" width="11.5546875" bestFit="1" customWidth="1"/>
    <col min="2" max="2" width="40.5546875" bestFit="1" customWidth="1"/>
    <col min="3" max="3" width="11.5546875" bestFit="1" customWidth="1"/>
    <col min="5" max="5" width="12.6640625" hidden="1" customWidth="1"/>
    <col min="6" max="6" width="0" hidden="1" customWidth="1"/>
    <col min="7" max="7" width="11.5546875" hidden="1" customWidth="1"/>
    <col min="8" max="8" width="11.5546875" bestFit="1" customWidth="1"/>
    <col min="9" max="9" width="14" customWidth="1"/>
    <col min="10" max="10" width="15.5546875" customWidth="1"/>
    <col min="11" max="11" width="17.44140625" customWidth="1"/>
    <col min="12" max="12" width="18.109375" customWidth="1"/>
    <col min="13" max="13" width="19.44140625" customWidth="1"/>
    <col min="14" max="14" width="16.44140625" customWidth="1"/>
    <col min="15" max="15" width="18.33203125" customWidth="1"/>
    <col min="16" max="16" width="16.33203125" customWidth="1"/>
    <col min="17" max="17" width="20.5546875" customWidth="1"/>
    <col min="18" max="18" width="11.5546875" hidden="1" customWidth="1"/>
    <col min="19" max="19" width="14.5546875" customWidth="1"/>
    <col min="20" max="20" width="14.88671875" customWidth="1"/>
    <col min="21" max="21" width="14.5546875" customWidth="1"/>
    <col min="22" max="22" width="14.109375" customWidth="1"/>
    <col min="23" max="23" width="14" customWidth="1"/>
    <col min="24" max="24" width="13" customWidth="1"/>
    <col min="25" max="25" width="13.88671875" customWidth="1"/>
    <col min="26" max="26" width="14.33203125" customWidth="1"/>
    <col min="27" max="27" width="14.88671875" customWidth="1"/>
    <col min="28" max="28" width="13.88671875" hidden="1" customWidth="1"/>
    <col min="29" max="29" width="17.6640625" customWidth="1"/>
    <col min="30" max="30" width="18.44140625" customWidth="1"/>
    <col min="31" max="31" width="15.44140625" customWidth="1"/>
    <col min="32" max="32" width="19.44140625" customWidth="1"/>
    <col min="33" max="33" width="18.5546875" hidden="1" customWidth="1"/>
    <col min="34" max="34" width="15.33203125" hidden="1" customWidth="1"/>
    <col min="35" max="35" width="16.21875" customWidth="1"/>
    <col min="36" max="36" width="15.6640625" customWidth="1"/>
    <col min="37" max="37" width="14.6640625" customWidth="1"/>
  </cols>
  <sheetData>
    <row r="1" spans="1:38" s="1" customFormat="1" x14ac:dyDescent="0.25">
      <c r="A1" s="10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3"/>
      <c r="O1" s="13"/>
      <c r="P1" s="14"/>
      <c r="Q1" s="14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516"/>
      <c r="AD1" s="13"/>
      <c r="AE1" s="13"/>
      <c r="AF1" s="13"/>
      <c r="AG1" s="13"/>
      <c r="AH1" s="13"/>
      <c r="AI1" s="516"/>
      <c r="AJ1" s="13"/>
      <c r="AK1" s="13"/>
      <c r="AL1" s="13"/>
    </row>
    <row r="2" spans="1:38" s="1" customFormat="1" x14ac:dyDescent="0.25">
      <c r="A2" s="10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3"/>
      <c r="O2" s="13"/>
      <c r="P2" s="14"/>
      <c r="Q2" s="14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516"/>
      <c r="AD2" s="13"/>
      <c r="AE2" s="13"/>
      <c r="AF2" s="13"/>
      <c r="AG2" s="13"/>
      <c r="AH2" s="13"/>
      <c r="AI2" s="516"/>
      <c r="AJ2" s="13"/>
      <c r="AK2" s="13"/>
      <c r="AL2" s="13"/>
    </row>
    <row r="3" spans="1:38" s="1" customFormat="1" ht="12.75" customHeight="1" x14ac:dyDescent="0.25">
      <c r="A3" s="10"/>
      <c r="C3" s="13"/>
      <c r="D3" s="13"/>
      <c r="E3" s="13"/>
      <c r="F3" s="13"/>
      <c r="G3" s="13"/>
      <c r="H3" s="13"/>
      <c r="I3" s="13"/>
      <c r="J3" s="13"/>
      <c r="K3" s="725" t="s">
        <v>82</v>
      </c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13"/>
      <c r="AC3" s="516"/>
      <c r="AD3" s="13"/>
      <c r="AE3" s="13"/>
      <c r="AF3" s="13"/>
      <c r="AG3" s="13"/>
      <c r="AH3" s="13"/>
      <c r="AI3" s="516"/>
      <c r="AJ3" s="13"/>
      <c r="AK3" s="13"/>
      <c r="AL3" s="13"/>
    </row>
    <row r="4" spans="1:38" s="1" customFormat="1" ht="12.75" customHeight="1" x14ac:dyDescent="0.25">
      <c r="A4" s="10"/>
      <c r="C4" s="13"/>
      <c r="D4" s="13"/>
      <c r="E4" s="13"/>
      <c r="F4" s="13"/>
      <c r="G4" s="13"/>
      <c r="H4" s="13"/>
      <c r="I4" s="13"/>
      <c r="J4" s="13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13"/>
      <c r="AC4" s="516"/>
      <c r="AD4" s="13"/>
      <c r="AE4" s="13"/>
      <c r="AF4" s="13"/>
      <c r="AG4" s="13"/>
      <c r="AH4" s="13"/>
      <c r="AI4" s="516"/>
      <c r="AJ4" s="13"/>
      <c r="AK4" s="13"/>
      <c r="AL4" s="13"/>
    </row>
    <row r="5" spans="1:38" s="1" customFormat="1" ht="12.75" customHeight="1" x14ac:dyDescent="0.25">
      <c r="A5" s="10"/>
      <c r="C5" s="13"/>
      <c r="D5" s="13"/>
      <c r="E5" s="13"/>
      <c r="F5" s="13"/>
      <c r="G5" s="13"/>
      <c r="H5" s="13"/>
      <c r="I5" s="13"/>
      <c r="J5" s="13"/>
      <c r="K5" s="725"/>
      <c r="L5" s="725"/>
      <c r="M5" s="725"/>
      <c r="N5" s="725"/>
      <c r="O5" s="725"/>
      <c r="P5" s="725"/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13"/>
      <c r="AC5" s="516"/>
      <c r="AD5" s="13"/>
      <c r="AE5" s="13"/>
      <c r="AF5" s="13"/>
      <c r="AG5" s="13"/>
      <c r="AH5" s="13"/>
      <c r="AI5" s="516"/>
      <c r="AJ5" s="13"/>
      <c r="AK5" s="13"/>
      <c r="AL5" s="13"/>
    </row>
    <row r="6" spans="1:38" s="1" customFormat="1" ht="28.2" x14ac:dyDescent="0.5">
      <c r="A6" s="728" t="s">
        <v>202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P6" s="728"/>
      <c r="Q6" s="728"/>
      <c r="R6" s="728"/>
      <c r="S6" s="728"/>
      <c r="T6" s="728"/>
      <c r="U6" s="728"/>
      <c r="V6" s="728"/>
      <c r="W6" s="728"/>
      <c r="X6" s="728"/>
      <c r="Y6" s="728"/>
      <c r="Z6" s="728"/>
      <c r="AA6" s="728"/>
      <c r="AB6" s="728"/>
      <c r="AC6" s="728"/>
      <c r="AD6" s="728"/>
      <c r="AE6" s="728"/>
      <c r="AF6" s="728"/>
      <c r="AG6" s="728"/>
      <c r="AH6" s="728"/>
      <c r="AI6" s="728"/>
      <c r="AJ6" s="728"/>
      <c r="AK6" s="728"/>
      <c r="AL6" s="13"/>
    </row>
    <row r="7" spans="1:38" s="1" customFormat="1" ht="18" thickBot="1" x14ac:dyDescent="0.35">
      <c r="A7" s="729" t="s">
        <v>83</v>
      </c>
      <c r="B7" s="730"/>
      <c r="C7" s="730"/>
      <c r="D7" s="730"/>
      <c r="E7" s="730"/>
      <c r="F7" s="730"/>
      <c r="G7" s="730"/>
      <c r="H7" s="730"/>
      <c r="I7" s="730"/>
      <c r="J7" s="730"/>
      <c r="K7" s="730"/>
      <c r="L7" s="730"/>
      <c r="M7" s="730"/>
      <c r="N7" s="730"/>
      <c r="O7" s="730"/>
      <c r="P7" s="730"/>
      <c r="Q7" s="730"/>
      <c r="R7" s="730"/>
      <c r="S7" s="730"/>
      <c r="T7" s="730"/>
      <c r="U7" s="730"/>
      <c r="V7" s="730"/>
      <c r="W7" s="730"/>
      <c r="X7" s="730"/>
      <c r="Y7" s="730"/>
      <c r="Z7" s="730"/>
      <c r="AA7" s="730"/>
      <c r="AB7" s="730"/>
      <c r="AC7" s="730"/>
      <c r="AD7" s="730"/>
      <c r="AE7" s="730"/>
      <c r="AF7" s="730"/>
      <c r="AG7" s="730"/>
      <c r="AH7" s="730"/>
      <c r="AI7" s="730"/>
      <c r="AJ7" s="730"/>
      <c r="AK7" s="730"/>
      <c r="AL7" s="13"/>
    </row>
    <row r="8" spans="1:38" ht="21" thickBot="1" x14ac:dyDescent="0.4">
      <c r="A8" s="93" t="s">
        <v>126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773" t="s">
        <v>126</v>
      </c>
      <c r="AF8" s="731"/>
      <c r="AG8" s="731"/>
      <c r="AH8" s="731"/>
      <c r="AI8" s="731"/>
      <c r="AJ8" s="731"/>
      <c r="AK8" s="731"/>
    </row>
    <row r="9" spans="1:38" s="2" customFormat="1" ht="26.25" customHeight="1" thickBot="1" x14ac:dyDescent="0.3">
      <c r="A9" s="767" t="s">
        <v>1</v>
      </c>
      <c r="B9" s="767" t="s">
        <v>0</v>
      </c>
      <c r="C9" s="733" t="s">
        <v>77</v>
      </c>
      <c r="D9" s="733" t="s">
        <v>117</v>
      </c>
      <c r="E9" s="733" t="s">
        <v>110</v>
      </c>
      <c r="F9" s="733" t="s">
        <v>111</v>
      </c>
      <c r="G9" s="733" t="s">
        <v>102</v>
      </c>
      <c r="H9" s="733" t="s">
        <v>79</v>
      </c>
      <c r="I9" s="732" t="s">
        <v>143</v>
      </c>
      <c r="J9" s="726" t="s">
        <v>142</v>
      </c>
      <c r="K9" s="726" t="s">
        <v>119</v>
      </c>
      <c r="L9" s="726" t="s">
        <v>141</v>
      </c>
      <c r="M9" s="726" t="s">
        <v>142</v>
      </c>
      <c r="N9" s="732" t="s">
        <v>85</v>
      </c>
      <c r="O9" s="732" t="s">
        <v>118</v>
      </c>
      <c r="P9" s="726" t="s">
        <v>86</v>
      </c>
      <c r="Q9" s="732" t="s">
        <v>101</v>
      </c>
      <c r="R9" s="739" t="s">
        <v>84</v>
      </c>
      <c r="S9" s="736" t="s">
        <v>198</v>
      </c>
      <c r="T9" s="732" t="s">
        <v>69</v>
      </c>
      <c r="U9" s="777" t="s">
        <v>59</v>
      </c>
      <c r="V9" s="778"/>
      <c r="W9" s="778"/>
      <c r="X9" s="778"/>
      <c r="Y9" s="778"/>
      <c r="Z9" s="732" t="s">
        <v>68</v>
      </c>
      <c r="AA9" s="732" t="s">
        <v>89</v>
      </c>
      <c r="AB9" s="732" t="s">
        <v>88</v>
      </c>
      <c r="AC9" s="736" t="s">
        <v>199</v>
      </c>
      <c r="AD9" s="732" t="s">
        <v>87</v>
      </c>
      <c r="AE9" s="732" t="s">
        <v>91</v>
      </c>
      <c r="AF9" s="732" t="s">
        <v>90</v>
      </c>
      <c r="AG9" s="732" t="s">
        <v>169</v>
      </c>
      <c r="AH9" s="732" t="s">
        <v>182</v>
      </c>
      <c r="AI9" s="736" t="s">
        <v>197</v>
      </c>
      <c r="AJ9" s="736" t="s">
        <v>195</v>
      </c>
      <c r="AK9" s="732" t="s">
        <v>92</v>
      </c>
      <c r="AL9" s="17"/>
    </row>
    <row r="10" spans="1:38" s="2" customFormat="1" ht="87.75" customHeight="1" thickBot="1" x14ac:dyDescent="0.3">
      <c r="A10" s="768"/>
      <c r="B10" s="768"/>
      <c r="C10" s="733"/>
      <c r="D10" s="733"/>
      <c r="E10" s="733"/>
      <c r="F10" s="733"/>
      <c r="G10" s="733"/>
      <c r="H10" s="733"/>
      <c r="I10" s="733"/>
      <c r="J10" s="727"/>
      <c r="K10" s="727"/>
      <c r="L10" s="727"/>
      <c r="M10" s="727"/>
      <c r="N10" s="733"/>
      <c r="O10" s="733"/>
      <c r="P10" s="727"/>
      <c r="Q10" s="733"/>
      <c r="R10" s="740"/>
      <c r="S10" s="737"/>
      <c r="T10" s="733"/>
      <c r="U10" s="96" t="s">
        <v>138</v>
      </c>
      <c r="V10" s="76" t="s">
        <v>61</v>
      </c>
      <c r="W10" s="76" t="s">
        <v>62</v>
      </c>
      <c r="X10" s="76" t="s">
        <v>63</v>
      </c>
      <c r="Y10" s="76" t="s">
        <v>64</v>
      </c>
      <c r="Z10" s="733"/>
      <c r="AA10" s="756"/>
      <c r="AB10" s="756"/>
      <c r="AC10" s="737"/>
      <c r="AD10" s="733"/>
      <c r="AE10" s="756"/>
      <c r="AF10" s="756"/>
      <c r="AG10" s="733"/>
      <c r="AH10" s="733"/>
      <c r="AI10" s="737"/>
      <c r="AJ10" s="737"/>
      <c r="AK10" s="733"/>
      <c r="AL10" s="17"/>
    </row>
    <row r="11" spans="1:38" s="1" customFormat="1" ht="21.75" customHeight="1" x14ac:dyDescent="0.25">
      <c r="A11" s="333">
        <v>585</v>
      </c>
      <c r="B11" s="373" t="s">
        <v>5</v>
      </c>
      <c r="C11" s="305">
        <v>0</v>
      </c>
      <c r="D11" s="305"/>
      <c r="E11" s="305"/>
      <c r="F11" s="305"/>
      <c r="G11" s="374">
        <v>1783</v>
      </c>
      <c r="H11" s="305">
        <f t="shared" ref="H11:H21" si="0">SUM(G11:G11)</f>
        <v>1783</v>
      </c>
      <c r="I11" s="305"/>
      <c r="J11" s="305"/>
      <c r="K11" s="310">
        <f>H11*'DATOS REFERENCIALES'!$C$4</f>
        <v>33863.609669999998</v>
      </c>
      <c r="L11" s="310"/>
      <c r="M11" s="310"/>
      <c r="N11" s="312">
        <f>LOOKUP(C11,'TABLA ANTIG.'!$A$4:$A$39,'TABLA ANTIG.'!$B$4:$B$39)*(K11)</f>
        <v>0</v>
      </c>
      <c r="O11" s="312">
        <f t="shared" ref="O11:O21" si="1">K11*0.1</f>
        <v>3386.3609670000001</v>
      </c>
      <c r="P11" s="578">
        <f>IF(H11&gt;1134,'DATOS REFERENCIALES'!$C$8,IF(('DATOS REFERENCIALES'!$C$8/1135*H11)&lt;'DATOS REFERENCIALES'!$F$8,'DATOS REFERENCIALES'!$F$8))</f>
        <v>13323</v>
      </c>
      <c r="Q11" s="312">
        <f>LOOKUP(C11,'TABLA ANTIG.'!$A$4:$A$39,'TABLA ANTIG.'!$B$4:$B$39)*(P11)</f>
        <v>0</v>
      </c>
      <c r="R11" s="316">
        <v>0</v>
      </c>
      <c r="S11" s="312">
        <f>IF(C11&gt;11,IF(H11&gt;1134,'DATOS REFERENCIALES'!$C$18,IF(('DATOS REFERENCIALES'!$C$18/1135*H11)&lt;'DATOS REFERENCIALES'!$F$18,'DATOS REFERENCIALES'!$F$18,'DATOS REFERENCIALES'!$C$18/1135*H11)),0)</f>
        <v>0</v>
      </c>
      <c r="T11" s="312">
        <f>K11+N11+O11+P11+Q11+R11+S11</f>
        <v>50572.970636999999</v>
      </c>
      <c r="U11" s="312">
        <f t="shared" ref="U11:U21" si="2">$T11*11%</f>
        <v>5563.0267700699997</v>
      </c>
      <c r="V11" s="312">
        <f t="shared" ref="V11:W21" si="3">$T11*3%</f>
        <v>1517.1891191099999</v>
      </c>
      <c r="W11" s="312">
        <f t="shared" si="3"/>
        <v>1517.1891191099999</v>
      </c>
      <c r="X11" s="312">
        <f t="shared" ref="X11:X21" si="4">$T11*2%</f>
        <v>1011.4594127399999</v>
      </c>
      <c r="Y11" s="312">
        <f t="shared" ref="Y11:Y21" si="5">$T11*4.5%</f>
        <v>2275.783678665</v>
      </c>
      <c r="Z11" s="312">
        <f t="shared" ref="Z11:Z21" si="6">SUM(U11:Y11)</f>
        <v>11884.648099694999</v>
      </c>
      <c r="AA11" s="312">
        <f t="shared" ref="AA11:AA21" si="7">T11-Z11</f>
        <v>38688.322537305001</v>
      </c>
      <c r="AB11" s="315">
        <f>'DATOS REFERENCIALES'!$C$10</f>
        <v>0</v>
      </c>
      <c r="AC11" s="315">
        <f>IF(C11&lt;12,IF(H11&gt;1134,'DATOS REFERENCIALES'!$C$17,'DATOS REFERENCIALES'!$C$17/1135*H11),0)</f>
        <v>16597</v>
      </c>
      <c r="AD11" s="389">
        <f>IF((IF(H11&gt;1134,('DATOS REFERENCIALES'!$C$9-(T11-U11-V11-W11-X11-Y11+AB11+AC11-L11-L11*0.235)),(('DATOS REFERENCIALES'!$C$9/1135)*H11)-(K11+N11+O11+P11+Q11+S11-U11-V11-W11-X11-Y11+AB11+AC11-(L11-L11*0.235))))&lt;0,0,IF(H11&gt;1134,(('DATOS REFERENCIALES'!$C$9)-(T11-U11-V11-W11-X11-Y11+AB11+AC11-(L11-L11*0.235))),(('DATOS REFERENCIALES'!$C$9/1135)*H11)-(K11+N11+O11+P11+Q11+S11-U11-V11-W11-X11-Y11+AB11+AC11-(L11-L11*0.235))))</f>
        <v>8269.6774626949991</v>
      </c>
      <c r="AE11" s="316">
        <f t="shared" ref="AE11:AE21" si="8">SUM(AA11:AD11)</f>
        <v>63555</v>
      </c>
      <c r="AF11" s="589">
        <f>'DATOS REFERENCIALES'!$C$13</f>
        <v>5141</v>
      </c>
      <c r="AG11" s="338"/>
      <c r="AH11" s="311"/>
      <c r="AI11" s="317">
        <f>'DATOS REFERENCIALES'!$C$16</f>
        <v>2250</v>
      </c>
      <c r="AJ11" s="311">
        <f>'DATOS REFERENCIALES'!$C$12</f>
        <v>6699</v>
      </c>
      <c r="AK11" s="763">
        <f>+AE11+AE12+AF11+AI11+AJ11</f>
        <v>83629.207782834055</v>
      </c>
      <c r="AL11" s="17"/>
    </row>
    <row r="12" spans="1:38" s="1" customFormat="1" ht="22.5" customHeight="1" thickBot="1" x14ac:dyDescent="0.3">
      <c r="A12" s="339">
        <v>585</v>
      </c>
      <c r="B12" s="375" t="s">
        <v>5</v>
      </c>
      <c r="C12" s="466">
        <f>IF(C11&gt;0,C11,0)</f>
        <v>0</v>
      </c>
      <c r="D12" s="320"/>
      <c r="E12" s="320"/>
      <c r="F12" s="320"/>
      <c r="G12" s="376"/>
      <c r="H12" s="320"/>
      <c r="I12" s="534">
        <f>H11*'DATOS REFERENCIALES'!$K$4/100</f>
        <v>267.45</v>
      </c>
      <c r="J12" s="508" t="s">
        <v>145</v>
      </c>
      <c r="K12" s="325"/>
      <c r="L12" s="325">
        <f>I12*'DATOS REFERENCIALES'!$C$4</f>
        <v>5079.5414504999999</v>
      </c>
      <c r="M12" s="325">
        <f>IF(J12='DATOS REFERENCIALES'!$C$31,K11*'DATOS REFERENCIALES'!$D$31,IF(J12='DATOS REFERENCIALES'!$C$32,('DATOS REFERENCIALES'!$D$32*K11),IF(J12='DATOS REFERENCIALES'!$C$33,('DATOS REFERENCIALES'!$D$33*K11),IF(J12='DATOS REFERENCIALES'!$C$34,('DATOS REFERENCIALES'!$D$34*K11),IF(J12='DATOS REFERENCIALES'!$C$35,('DATOS REFERENCIALES'!$D$35*K11),IF(J12='DATOS REFERENCIALES'!$C$36,('DATOS REFERENCIALES'!$D$36*K11),IF(J12='DATOS REFERENCIALES'!$C$37,('DATOS REFERENCIALES'!$D$37*K11),IF(J12='DATOS REFERENCIALES'!$C$38,('DATOS REFERENCIALES'!$D$38*K11),0))))))))</f>
        <v>2031.8165801999999</v>
      </c>
      <c r="N12" s="327">
        <f>LOOKUP(C12,'TABLA ANTIG.'!$A$4:$A$39,'TABLA ANTIG.'!$B$4:$B$39)*(L12+M12)</f>
        <v>0</v>
      </c>
      <c r="O12" s="327">
        <f>(L12+M12)*0.1</f>
        <v>711.13580306999995</v>
      </c>
      <c r="P12" s="325"/>
      <c r="Q12" s="327"/>
      <c r="R12" s="326"/>
      <c r="S12" s="327"/>
      <c r="T12" s="327">
        <f>L12+M12+N12+O12+P12+Q12+R12</f>
        <v>7822.4938337699996</v>
      </c>
      <c r="U12" s="330">
        <f t="shared" si="2"/>
        <v>860.47432171469995</v>
      </c>
      <c r="V12" s="327">
        <f t="shared" si="3"/>
        <v>234.67481501309999</v>
      </c>
      <c r="W12" s="330">
        <f t="shared" si="3"/>
        <v>234.67481501309999</v>
      </c>
      <c r="X12" s="327">
        <f>$T12*2%</f>
        <v>156.44987667539999</v>
      </c>
      <c r="Y12" s="327">
        <f t="shared" si="5"/>
        <v>352.01222251964998</v>
      </c>
      <c r="Z12" s="327">
        <f t="shared" si="6"/>
        <v>1838.2860509359498</v>
      </c>
      <c r="AA12" s="331">
        <f t="shared" si="7"/>
        <v>5984.2077828340498</v>
      </c>
      <c r="AB12" s="327"/>
      <c r="AC12" s="330"/>
      <c r="AD12" s="327"/>
      <c r="AE12" s="326">
        <f t="shared" si="8"/>
        <v>5984.2077828340498</v>
      </c>
      <c r="AF12" s="332"/>
      <c r="AG12" s="344"/>
      <c r="AH12" s="326"/>
      <c r="AI12" s="327"/>
      <c r="AJ12" s="331"/>
      <c r="AK12" s="764"/>
      <c r="AL12" s="17"/>
    </row>
    <row r="13" spans="1:38" s="1" customFormat="1" ht="24" customHeight="1" x14ac:dyDescent="0.25">
      <c r="A13" s="363">
        <v>840</v>
      </c>
      <c r="B13" s="244" t="s">
        <v>3</v>
      </c>
      <c r="C13" s="245">
        <v>0</v>
      </c>
      <c r="D13" s="245"/>
      <c r="E13" s="245"/>
      <c r="F13" s="245"/>
      <c r="G13" s="246">
        <v>1545</v>
      </c>
      <c r="H13" s="245">
        <f t="shared" si="0"/>
        <v>1545</v>
      </c>
      <c r="I13" s="523"/>
      <c r="J13" s="245"/>
      <c r="K13" s="247">
        <f>H13*'DATOS REFERENCIALES'!$C$4</f>
        <v>29343.39705</v>
      </c>
      <c r="L13" s="247"/>
      <c r="M13" s="247"/>
      <c r="N13" s="249">
        <f>LOOKUP(C13,'TABLA ANTIG.'!$A$4:$A$39,'TABLA ANTIG.'!$B$4:$B$39)*(K13)</f>
        <v>0</v>
      </c>
      <c r="O13" s="249">
        <f t="shared" si="1"/>
        <v>2934.3397050000003</v>
      </c>
      <c r="P13" s="577">
        <f>IF(H13&gt;1134,'DATOS REFERENCIALES'!$C$8,IF(('DATOS REFERENCIALES'!$C$8/1135*H13)&lt;'DATOS REFERENCIALES'!$F$8,'DATOS REFERENCIALES'!$F$8))</f>
        <v>13323</v>
      </c>
      <c r="Q13" s="249">
        <f>LOOKUP(C13,'TABLA ANTIG.'!$A$4:$A$39,'TABLA ANTIG.'!$B$4:$B$39)*(P13)</f>
        <v>0</v>
      </c>
      <c r="R13" s="381">
        <v>0</v>
      </c>
      <c r="S13" s="249">
        <f>IF(C13&gt;11,IF(H13&gt;1134,'DATOS REFERENCIALES'!$C$18,IF(('DATOS REFERENCIALES'!$C$18/1135*H13)&lt;'DATOS REFERENCIALES'!$F$18,'DATOS REFERENCIALES'!$F$18,'DATOS REFERENCIALES'!$C$18/1135*H13)),0)</f>
        <v>0</v>
      </c>
      <c r="T13" s="382">
        <f>K13+N13+O13+P13+Q13+R13+S13</f>
        <v>45600.736754999998</v>
      </c>
      <c r="U13" s="382">
        <f t="shared" si="2"/>
        <v>5016.0810430499996</v>
      </c>
      <c r="V13" s="382">
        <f t="shared" si="3"/>
        <v>1368.0221026499999</v>
      </c>
      <c r="W13" s="382">
        <f t="shared" si="3"/>
        <v>1368.0221026499999</v>
      </c>
      <c r="X13" s="382">
        <f t="shared" si="4"/>
        <v>912.01473509999994</v>
      </c>
      <c r="Y13" s="382">
        <f t="shared" si="5"/>
        <v>2052.033153975</v>
      </c>
      <c r="Z13" s="382">
        <f t="shared" si="6"/>
        <v>10716.173137424999</v>
      </c>
      <c r="AA13" s="382">
        <f t="shared" si="7"/>
        <v>34884.563617574997</v>
      </c>
      <c r="AB13" s="383">
        <f>'DATOS REFERENCIALES'!$C$10</f>
        <v>0</v>
      </c>
      <c r="AC13" s="252">
        <f>IF(C13&lt;12,IF(H13&gt;1134,'DATOS REFERENCIALES'!$C$17,'DATOS REFERENCIALES'!$C$17/1135*H13),0)</f>
        <v>16597</v>
      </c>
      <c r="AD13" s="382">
        <f>IF((IF(H13&gt;1134,('DATOS REFERENCIALES'!$C$9-(T13-U13-V13-W13-X13-Y13+AB13+AC13-L13-L13*0.235)),(('DATOS REFERENCIALES'!$C$9/1135)*H13)-(K13+N13+O13+P13+Q13+S13-U13-V13-W13-X13-Y13+AB13+AC13-(L13-L13*0.235))))&lt;0,0,IF(H13&gt;1134,(('DATOS REFERENCIALES'!$C$9)-(T13-U13-V13-W13-X13-Y13+AB13+AC13-(L13-L13*0.235))),(('DATOS REFERENCIALES'!$C$9/1135)*H13)-(K13+N13+O13+P13+Q13+S13-U13-V13-W13-X13-Y13+AB13+AC13-(L13-L13*0.235))))</f>
        <v>12073.436382424996</v>
      </c>
      <c r="AE13" s="381">
        <f t="shared" si="8"/>
        <v>63554.999999999993</v>
      </c>
      <c r="AF13" s="483">
        <f>'DATOS REFERENCIALES'!$C$13</f>
        <v>5141</v>
      </c>
      <c r="AG13" s="366"/>
      <c r="AH13" s="251"/>
      <c r="AI13" s="254">
        <f>'DATOS REFERENCIALES'!$C$16</f>
        <v>2250</v>
      </c>
      <c r="AJ13" s="383">
        <f>'DATOS REFERENCIALES'!$C$12</f>
        <v>6699</v>
      </c>
      <c r="AK13" s="765">
        <f>+AE13+AE14+AF13+AI13+AJ13</f>
        <v>81348.870292636246</v>
      </c>
      <c r="AL13" s="17"/>
    </row>
    <row r="14" spans="1:38" s="1" customFormat="1" ht="28.5" customHeight="1" thickBot="1" x14ac:dyDescent="0.3">
      <c r="A14" s="367">
        <v>840</v>
      </c>
      <c r="B14" s="384" t="s">
        <v>3</v>
      </c>
      <c r="C14" s="257">
        <f>IF(C13&gt;0,C13,0)</f>
        <v>0</v>
      </c>
      <c r="D14" s="296"/>
      <c r="E14" s="296"/>
      <c r="F14" s="296"/>
      <c r="G14" s="385"/>
      <c r="H14" s="296"/>
      <c r="I14" s="529">
        <f>H13*'DATOS REFERENCIALES'!$K$4/100</f>
        <v>231.75</v>
      </c>
      <c r="J14" s="386"/>
      <c r="K14" s="300"/>
      <c r="L14" s="300">
        <f>I14*'DATOS REFERENCIALES'!$C$4</f>
        <v>4401.5095574999996</v>
      </c>
      <c r="M14" s="300"/>
      <c r="N14" s="268">
        <f>LOOKUP(C14,'TABLA ANTIG.'!$A$4:$A$39,'TABLA ANTIG.'!$B$4:$B$39)*(L14+M14)</f>
        <v>0</v>
      </c>
      <c r="O14" s="268">
        <f>(L14+M14)*0.1</f>
        <v>440.15095574999998</v>
      </c>
      <c r="P14" s="300"/>
      <c r="Q14" s="268"/>
      <c r="R14" s="266"/>
      <c r="S14" s="301"/>
      <c r="T14" s="268">
        <f>L14+M14+N14+O14+P14+Q14+R14</f>
        <v>4841.6605132499999</v>
      </c>
      <c r="U14" s="301">
        <f t="shared" si="2"/>
        <v>532.58265645749998</v>
      </c>
      <c r="V14" s="268">
        <f t="shared" si="3"/>
        <v>145.24981539749999</v>
      </c>
      <c r="W14" s="301">
        <f t="shared" si="3"/>
        <v>145.24981539749999</v>
      </c>
      <c r="X14" s="268">
        <f>$T14*2%</f>
        <v>96.833210265000005</v>
      </c>
      <c r="Y14" s="268">
        <f t="shared" si="5"/>
        <v>217.87472309624999</v>
      </c>
      <c r="Z14" s="268">
        <f t="shared" si="6"/>
        <v>1137.7902206137501</v>
      </c>
      <c r="AA14" s="302">
        <f t="shared" si="7"/>
        <v>3703.8702926362498</v>
      </c>
      <c r="AB14" s="268"/>
      <c r="AC14" s="494"/>
      <c r="AD14" s="268"/>
      <c r="AE14" s="266">
        <f t="shared" si="8"/>
        <v>3703.8702926362498</v>
      </c>
      <c r="AF14" s="481"/>
      <c r="AG14" s="372"/>
      <c r="AH14" s="266"/>
      <c r="AI14" s="268"/>
      <c r="AJ14" s="268"/>
      <c r="AK14" s="766"/>
      <c r="AL14" s="17"/>
    </row>
    <row r="15" spans="1:38" s="1" customFormat="1" ht="22.5" customHeight="1" x14ac:dyDescent="0.25">
      <c r="A15" s="345">
        <v>846</v>
      </c>
      <c r="B15" s="270" t="s">
        <v>4</v>
      </c>
      <c r="C15" s="271">
        <v>0</v>
      </c>
      <c r="D15" s="271"/>
      <c r="E15" s="271"/>
      <c r="F15" s="271"/>
      <c r="G15" s="272">
        <v>1307</v>
      </c>
      <c r="H15" s="271">
        <f t="shared" si="0"/>
        <v>1307</v>
      </c>
      <c r="I15" s="524"/>
      <c r="J15" s="271"/>
      <c r="K15" s="273">
        <f>H15*'DATOS REFERENCIALES'!$C$4</f>
        <v>24823.184430000001</v>
      </c>
      <c r="L15" s="273"/>
      <c r="M15" s="273"/>
      <c r="N15" s="275">
        <f>LOOKUP(C15,'TABLA ANTIG.'!$A$4:$A$39,'TABLA ANTIG.'!$B$4:$B$39)*(K15)</f>
        <v>0</v>
      </c>
      <c r="O15" s="275">
        <f t="shared" si="1"/>
        <v>2482.3184430000001</v>
      </c>
      <c r="P15" s="579">
        <f>IF(H15&gt;1134,'DATOS REFERENCIALES'!$C$8,IF(('DATOS REFERENCIALES'!$C$8/1135*H15)&lt;'DATOS REFERENCIALES'!$F$8,'DATOS REFERENCIALES'!$F$8))</f>
        <v>13323</v>
      </c>
      <c r="Q15" s="275">
        <f>LOOKUP(C15,'TABLA ANTIG.'!$A$4:$A$39,'TABLA ANTIG.'!$B$4:$B$39)*(P15)</f>
        <v>0</v>
      </c>
      <c r="R15" s="377">
        <v>0</v>
      </c>
      <c r="S15" s="275">
        <f>IF(C15&gt;11,IF(H15&gt;1134,'DATOS REFERENCIALES'!$C$18,IF(('DATOS REFERENCIALES'!$C$18/1135*H15)&lt;'DATOS REFERENCIALES'!$F$18,'DATOS REFERENCIALES'!$F$18,'DATOS REFERENCIALES'!$C$18/1135*H15)),0)</f>
        <v>0</v>
      </c>
      <c r="T15" s="378">
        <f>K15+N15+O15+P15+Q15+R15+S15</f>
        <v>40628.502873000005</v>
      </c>
      <c r="U15" s="378">
        <f t="shared" si="2"/>
        <v>4469.1353160300005</v>
      </c>
      <c r="V15" s="378">
        <f t="shared" si="3"/>
        <v>1218.8550861900001</v>
      </c>
      <c r="W15" s="378">
        <f t="shared" si="3"/>
        <v>1218.8550861900001</v>
      </c>
      <c r="X15" s="378">
        <f t="shared" si="4"/>
        <v>812.57005746000016</v>
      </c>
      <c r="Y15" s="378">
        <f t="shared" si="5"/>
        <v>1828.2826292850002</v>
      </c>
      <c r="Z15" s="378">
        <f t="shared" si="6"/>
        <v>9547.6981751550011</v>
      </c>
      <c r="AA15" s="378">
        <f t="shared" si="7"/>
        <v>31080.804697845004</v>
      </c>
      <c r="AB15" s="379">
        <f>'DATOS REFERENCIALES'!$C$10</f>
        <v>0</v>
      </c>
      <c r="AC15" s="276">
        <f>IF(C15&lt;12,IF(H15&gt;1134,'DATOS REFERENCIALES'!$C$17,'DATOS REFERENCIALES'!$C$17/1135*H15),0)</f>
        <v>16597</v>
      </c>
      <c r="AD15" s="378">
        <f>IF((IF(H15&gt;1134,('DATOS REFERENCIALES'!$C$9-(T15-U15-V15-W15-X15-Y15+AB15+AC15-L15-L15*0.235)),(('DATOS REFERENCIALES'!$C$9/1135)*H15)-(K15+N15+O15+P15+Q15+S15-U15-V15-W15-X15-Y15+AB15+AC15-(L15-L15*0.235))))&lt;0,0,IF(H15&gt;1134,(('DATOS REFERENCIALES'!$C$9)-(T15-U15-V15-W15-X15-Y15+AB15+AC15-(L15-L15*0.235))),(('DATOS REFERENCIALES'!$C$9/1135)*H15)-(K15+N15+O15+P15+Q15+S15-U15-V15-W15-X15-Y15+AB15+AC15-(L15-L15*0.235))))</f>
        <v>15877.195302154993</v>
      </c>
      <c r="AE15" s="377">
        <f t="shared" si="8"/>
        <v>63554.999999999993</v>
      </c>
      <c r="AF15" s="484">
        <f>'DATOS REFERENCIALES'!$C$13</f>
        <v>5141</v>
      </c>
      <c r="AG15" s="351"/>
      <c r="AH15" s="377"/>
      <c r="AI15" s="279">
        <f>'DATOS REFERENCIALES'!$C$16</f>
        <v>2250</v>
      </c>
      <c r="AJ15" s="379">
        <f>'DATOS REFERENCIALES'!$C$12</f>
        <v>6699</v>
      </c>
      <c r="AK15" s="761">
        <f>+AE15+AE16+AF15+AI15+AJ15</f>
        <v>80778.306454676742</v>
      </c>
      <c r="AL15" s="17"/>
    </row>
    <row r="16" spans="1:38" s="1" customFormat="1" ht="24" customHeight="1" thickBot="1" x14ac:dyDescent="0.3">
      <c r="A16" s="352">
        <v>846</v>
      </c>
      <c r="B16" s="281" t="s">
        <v>4</v>
      </c>
      <c r="C16" s="282">
        <f>IF(C15&gt;0,C15,0)</f>
        <v>0</v>
      </c>
      <c r="D16" s="282"/>
      <c r="E16" s="282"/>
      <c r="F16" s="282"/>
      <c r="G16" s="283"/>
      <c r="H16" s="282"/>
      <c r="I16" s="525">
        <f>H15*'DATOS REFERENCIALES'!$K$4/100</f>
        <v>196.05</v>
      </c>
      <c r="J16" s="380"/>
      <c r="K16" s="284"/>
      <c r="L16" s="284">
        <f>I16*'DATOS REFERENCIALES'!$C$4</f>
        <v>3723.4776645000002</v>
      </c>
      <c r="M16" s="284"/>
      <c r="N16" s="288">
        <f>LOOKUP(C16,'TABLA ANTIG.'!$A$4:$A$39,'TABLA ANTIG.'!$B$4:$B$39)*(L16+M16)</f>
        <v>0</v>
      </c>
      <c r="O16" s="288">
        <f>(L16+M16)*0.1</f>
        <v>372.34776645000005</v>
      </c>
      <c r="P16" s="284"/>
      <c r="Q16" s="288"/>
      <c r="R16" s="290"/>
      <c r="S16" s="505"/>
      <c r="T16" s="288">
        <f>L16+M16+N16+O16+P16+Q16+R16</f>
        <v>4095.8254309500003</v>
      </c>
      <c r="U16" s="289">
        <f t="shared" si="2"/>
        <v>450.54079740450004</v>
      </c>
      <c r="V16" s="288">
        <f t="shared" si="3"/>
        <v>122.8747629285</v>
      </c>
      <c r="W16" s="289">
        <f t="shared" si="3"/>
        <v>122.8747629285</v>
      </c>
      <c r="X16" s="288">
        <f>$T16*2%</f>
        <v>81.916508619000012</v>
      </c>
      <c r="Y16" s="288">
        <f t="shared" si="5"/>
        <v>184.31214439275001</v>
      </c>
      <c r="Z16" s="288">
        <f t="shared" si="6"/>
        <v>962.51897627325002</v>
      </c>
      <c r="AA16" s="291">
        <f t="shared" si="7"/>
        <v>3133.30645467675</v>
      </c>
      <c r="AB16" s="288"/>
      <c r="AC16" s="547"/>
      <c r="AD16" s="288"/>
      <c r="AE16" s="290">
        <f t="shared" si="8"/>
        <v>3133.30645467675</v>
      </c>
      <c r="AF16" s="292"/>
      <c r="AG16" s="387"/>
      <c r="AH16" s="290"/>
      <c r="AI16" s="505"/>
      <c r="AJ16" s="288"/>
      <c r="AK16" s="762"/>
      <c r="AL16" s="17"/>
    </row>
    <row r="17" spans="1:40" s="1" customFormat="1" ht="21.75" customHeight="1" x14ac:dyDescent="0.25">
      <c r="A17" s="208">
        <v>847</v>
      </c>
      <c r="B17" s="157" t="s">
        <v>70</v>
      </c>
      <c r="C17" s="117">
        <v>0</v>
      </c>
      <c r="D17" s="205"/>
      <c r="E17" s="205"/>
      <c r="F17" s="205"/>
      <c r="G17" s="206">
        <v>1120</v>
      </c>
      <c r="H17" s="514">
        <v>1135</v>
      </c>
      <c r="I17" s="531"/>
      <c r="J17" s="184"/>
      <c r="K17" s="103">
        <f>H17*'DATOS REFERENCIALES'!$C$4</f>
        <v>21556.476149999999</v>
      </c>
      <c r="L17" s="103"/>
      <c r="M17" s="103"/>
      <c r="N17" s="104">
        <f>LOOKUP(C17,'TABLA ANTIG.'!$A$4:$A$39,'TABLA ANTIG.'!$B$4:$B$39)*(K17)</f>
        <v>0</v>
      </c>
      <c r="O17" s="111">
        <f t="shared" si="1"/>
        <v>2155.6476149999999</v>
      </c>
      <c r="P17" s="588">
        <f>IF(H17&gt;1134,'DATOS REFERENCIALES'!$C$8,IF(('DATOS REFERENCIALES'!$C$8/1135*H17)&lt;'DATOS REFERENCIALES'!$F$8,'DATOS REFERENCIALES'!$F$8))</f>
        <v>13323</v>
      </c>
      <c r="Q17" s="104">
        <f>LOOKUP(C17,'TABLA ANTIG.'!$A$4:$A$39,'TABLA ANTIG.'!$B$4:$B$39)*(P17)</f>
        <v>0</v>
      </c>
      <c r="R17" s="97">
        <v>0</v>
      </c>
      <c r="S17" s="497">
        <f>IF(C17&gt;11,IF(H17&gt;1134,'DATOS REFERENCIALES'!$C$18,IF(('DATOS REFERENCIALES'!$C$18/1135*H17)&lt;'DATOS REFERENCIALES'!$F$18,'DATOS REFERENCIALES'!$F$18,'DATOS REFERENCIALES'!$C$18/1135*H17)),0)</f>
        <v>0</v>
      </c>
      <c r="T17" s="155">
        <f>K17+N17+O17+P17+Q17+R17+S17</f>
        <v>37035.123764999997</v>
      </c>
      <c r="U17" s="27">
        <f t="shared" si="2"/>
        <v>4073.8636141499996</v>
      </c>
      <c r="V17" s="27">
        <f t="shared" si="3"/>
        <v>1111.0537129499999</v>
      </c>
      <c r="W17" s="27">
        <f t="shared" si="3"/>
        <v>1111.0537129499999</v>
      </c>
      <c r="X17" s="27">
        <f t="shared" si="4"/>
        <v>740.70247529999995</v>
      </c>
      <c r="Y17" s="27">
        <f t="shared" si="5"/>
        <v>1666.5805694249998</v>
      </c>
      <c r="Z17" s="27">
        <f t="shared" si="6"/>
        <v>8703.2540847749988</v>
      </c>
      <c r="AA17" s="78">
        <f t="shared" si="7"/>
        <v>28331.869680224998</v>
      </c>
      <c r="AB17" s="144">
        <f>'DATOS REFERENCIALES'!$C$10</f>
        <v>0</v>
      </c>
      <c r="AC17" s="497">
        <f>IF(C17&lt;12,IF(H17&gt;1134,'DATOS REFERENCIALES'!$C$17,'DATOS REFERENCIALES'!$C$17/1135*H17),0)</f>
        <v>16597</v>
      </c>
      <c r="AD17" s="78">
        <f>IF((IF(H17&gt;1134,('DATOS REFERENCIALES'!$C$9-(T17-U17-V17-W17-X17-Y17+AB17+AC17-L17-L17*0.235)),(('DATOS REFERENCIALES'!$C$9/1135)*H17)-(K17+N17+O17+P17+Q17+S17-U17-V17-W17-X17-Y17+AB17+AC17-(L17-L17*0.235))))&lt;0,0,IF(H17&gt;1134,(('DATOS REFERENCIALES'!$C$9)-(T17-U17-V17-W17-X17-Y17+AB17+AC17-(L17-L17*0.235))),(('DATOS REFERENCIALES'!$C$9/1135)*H17)-(K17+N17+O17+P17+Q17+S17-U17-V17-W17-X17-Y17+AB17+AC17-(L17-L17*0.235))))</f>
        <v>18626.130319775009</v>
      </c>
      <c r="AE17" s="127">
        <f t="shared" si="8"/>
        <v>63555.000000000007</v>
      </c>
      <c r="AF17" s="90">
        <f>'DATOS REFERENCIALES'!$C$13</f>
        <v>5141</v>
      </c>
      <c r="AG17" s="238"/>
      <c r="AH17" s="148"/>
      <c r="AI17" s="509">
        <f>'DATOS REFERENCIALES'!$C$16</f>
        <v>2250</v>
      </c>
      <c r="AJ17" s="148">
        <f>'DATOS REFERENCIALES'!$C$12</f>
        <v>6699</v>
      </c>
      <c r="AK17" s="77">
        <f>+AE17+AF17+AI17+AJ17</f>
        <v>77645</v>
      </c>
      <c r="AL17" s="17"/>
    </row>
    <row r="18" spans="1:40" s="1" customFormat="1" ht="20.25" customHeight="1" x14ac:dyDescent="0.25">
      <c r="A18" s="180">
        <v>848</v>
      </c>
      <c r="B18" s="178" t="s">
        <v>80</v>
      </c>
      <c r="C18" s="23">
        <v>0</v>
      </c>
      <c r="D18" s="30"/>
      <c r="E18" s="30"/>
      <c r="F18" s="30"/>
      <c r="G18" s="54">
        <v>1120</v>
      </c>
      <c r="H18" s="515">
        <v>1135</v>
      </c>
      <c r="I18" s="36"/>
      <c r="J18" s="36"/>
      <c r="K18" s="88">
        <f>H18*'DATOS REFERENCIALES'!$C$4</f>
        <v>21556.476149999999</v>
      </c>
      <c r="L18" s="88"/>
      <c r="M18" s="88"/>
      <c r="N18" s="78">
        <f>LOOKUP(C18,'TABLA ANTIG.'!$A$4:$A$39,'TABLA ANTIG.'!$B$4:$B$39)*(K18)</f>
        <v>0</v>
      </c>
      <c r="O18" s="27">
        <f t="shared" si="1"/>
        <v>2155.6476149999999</v>
      </c>
      <c r="P18" s="588">
        <f>IF(H18&gt;1134,'DATOS REFERENCIALES'!$C$8,IF(('DATOS REFERENCIALES'!$C$8/1135*H18)&lt;'DATOS REFERENCIALES'!$F$8,'DATOS REFERENCIALES'!$F$8))</f>
        <v>13323</v>
      </c>
      <c r="Q18" s="78">
        <f>LOOKUP(C18,'TABLA ANTIG.'!$A$4:$A$39,'TABLA ANTIG.'!$B$4:$B$39)*(P18)</f>
        <v>0</v>
      </c>
      <c r="R18" s="97">
        <v>0</v>
      </c>
      <c r="S18" s="499">
        <f>IF(C18&gt;11,IF(H18&gt;1134,'DATOS REFERENCIALES'!$C$18,IF(('DATOS REFERENCIALES'!$C$18/1135*H18)&lt;'DATOS REFERENCIALES'!$F$18,'DATOS REFERENCIALES'!$F$18,'DATOS REFERENCIALES'!$C$18/1135*H18)),0)</f>
        <v>0</v>
      </c>
      <c r="T18" s="155">
        <f>K18+N18+O18+P18+Q18+R18+S18</f>
        <v>37035.123764999997</v>
      </c>
      <c r="U18" s="27">
        <f t="shared" si="2"/>
        <v>4073.8636141499996</v>
      </c>
      <c r="V18" s="27">
        <f t="shared" si="3"/>
        <v>1111.0537129499999</v>
      </c>
      <c r="W18" s="27">
        <f t="shared" si="3"/>
        <v>1111.0537129499999</v>
      </c>
      <c r="X18" s="27">
        <f t="shared" si="4"/>
        <v>740.70247529999995</v>
      </c>
      <c r="Y18" s="27">
        <f t="shared" si="5"/>
        <v>1666.5805694249998</v>
      </c>
      <c r="Z18" s="27">
        <f t="shared" si="6"/>
        <v>8703.2540847749988</v>
      </c>
      <c r="AA18" s="78">
        <f t="shared" si="7"/>
        <v>28331.869680224998</v>
      </c>
      <c r="AB18" s="144">
        <f>'DATOS REFERENCIALES'!$C$10</f>
        <v>0</v>
      </c>
      <c r="AC18" s="499">
        <f>IF(C18&lt;12,IF(H18&gt;1134,'DATOS REFERENCIALES'!$C$17,'DATOS REFERENCIALES'!$C$17/1135*H18),0)</f>
        <v>16597</v>
      </c>
      <c r="AD18" s="78">
        <f>IF((IF(H18&gt;1134,('DATOS REFERENCIALES'!$C$9-(T18-U18-V18-W18-X18-Y18+AB18+AC18-L18-L18*0.235)),(('DATOS REFERENCIALES'!$C$9/1135)*H18)-(K18+N18+O18+P18+Q18+S18-U18-V18-W18-X18-Y18+AB18+AC18-(L18-L18*0.235))))&lt;0,0,IF(H18&gt;1134,(('DATOS REFERENCIALES'!$C$9)-(T18-U18-V18-W18-X18-Y18+AB18+AC18-(L18-L18*0.235))),(('DATOS REFERENCIALES'!$C$9/1135)*H18)-(K18+N18+O18+P18+Q18+S18-U18-V18-W18-X18-Y18+AB18+AC18-(L18-L18*0.235))))</f>
        <v>18626.130319775009</v>
      </c>
      <c r="AE18" s="127">
        <f t="shared" si="8"/>
        <v>63555.000000000007</v>
      </c>
      <c r="AF18" s="90">
        <f>'DATOS REFERENCIALES'!$C$13</f>
        <v>5141</v>
      </c>
      <c r="AG18" s="241"/>
      <c r="AH18" s="148"/>
      <c r="AI18" s="90">
        <f>'DATOS REFERENCIALES'!$C$16</f>
        <v>2250</v>
      </c>
      <c r="AJ18" s="148">
        <f>'DATOS REFERENCIALES'!$C$12</f>
        <v>6699</v>
      </c>
      <c r="AK18" s="78">
        <f>+AE18+AF18+AI18+AJ18</f>
        <v>77645</v>
      </c>
      <c r="AL18" s="17"/>
    </row>
    <row r="19" spans="1:40" s="1" customFormat="1" ht="21" customHeight="1" x14ac:dyDescent="0.25">
      <c r="A19" s="73">
        <v>875</v>
      </c>
      <c r="B19" s="179" t="s">
        <v>94</v>
      </c>
      <c r="C19" s="23">
        <v>0</v>
      </c>
      <c r="D19" s="30"/>
      <c r="E19" s="30"/>
      <c r="F19" s="30"/>
      <c r="G19" s="54">
        <v>1120</v>
      </c>
      <c r="H19" s="515">
        <v>1135</v>
      </c>
      <c r="I19" s="36"/>
      <c r="J19" s="36"/>
      <c r="K19" s="88">
        <f>H19*'DATOS REFERENCIALES'!$C$4</f>
        <v>21556.476149999999</v>
      </c>
      <c r="L19" s="88"/>
      <c r="M19" s="88"/>
      <c r="N19" s="78">
        <f>LOOKUP(C19,'TABLA ANTIG.'!$A$4:$A$39,'TABLA ANTIG.'!$B$4:$B$39)*(K19)</f>
        <v>0</v>
      </c>
      <c r="O19" s="27">
        <f t="shared" si="1"/>
        <v>2155.6476149999999</v>
      </c>
      <c r="P19" s="588">
        <f>IF(H19&gt;1134,'DATOS REFERENCIALES'!$C$8,IF(('DATOS REFERENCIALES'!$C$8/1135*H19)&lt;'DATOS REFERENCIALES'!$F$8,'DATOS REFERENCIALES'!$F$8))</f>
        <v>13323</v>
      </c>
      <c r="Q19" s="78">
        <f>LOOKUP(C19,'TABLA ANTIG.'!$A$4:$A$39,'TABLA ANTIG.'!$B$4:$B$39)*(P19)</f>
        <v>0</v>
      </c>
      <c r="R19" s="97">
        <v>0</v>
      </c>
      <c r="S19" s="499">
        <f>IF(C19&gt;11,IF(H19&gt;1134,'DATOS REFERENCIALES'!$C$18,IF(('DATOS REFERENCIALES'!$C$18/1135*H19)&lt;'DATOS REFERENCIALES'!$F$18,'DATOS REFERENCIALES'!$F$18,'DATOS REFERENCIALES'!$C$18/1135*H19)),0)</f>
        <v>0</v>
      </c>
      <c r="T19" s="155">
        <f>K19+N19+O19+P19+Q19+R19+S19</f>
        <v>37035.123764999997</v>
      </c>
      <c r="U19" s="27">
        <f t="shared" si="2"/>
        <v>4073.8636141499996</v>
      </c>
      <c r="V19" s="27">
        <f t="shared" si="3"/>
        <v>1111.0537129499999</v>
      </c>
      <c r="W19" s="27">
        <f t="shared" si="3"/>
        <v>1111.0537129499999</v>
      </c>
      <c r="X19" s="27">
        <f t="shared" si="4"/>
        <v>740.70247529999995</v>
      </c>
      <c r="Y19" s="27">
        <f t="shared" si="5"/>
        <v>1666.5805694249998</v>
      </c>
      <c r="Z19" s="27">
        <f t="shared" si="6"/>
        <v>8703.2540847749988</v>
      </c>
      <c r="AA19" s="78">
        <f t="shared" si="7"/>
        <v>28331.869680224998</v>
      </c>
      <c r="AB19" s="144">
        <f>'DATOS REFERENCIALES'!$C$10</f>
        <v>0</v>
      </c>
      <c r="AC19" s="499">
        <f>IF(C19&lt;12,IF(H19&gt;1134,'DATOS REFERENCIALES'!$C$17,'DATOS REFERENCIALES'!$C$17/1135*H19),0)</f>
        <v>16597</v>
      </c>
      <c r="AD19" s="78">
        <f>IF((IF(H19&gt;1134,('DATOS REFERENCIALES'!$C$9-(T19-U19-V19-W19-X19-Y19+AB19+AC19-L19-L19*0.235)),(('DATOS REFERENCIALES'!$C$9/1135)*H19)-(K19+N19+O19+P19+Q19+S19-U19-V19-W19-X19-Y19+AB19+AC19-(L19-L19*0.235))))&lt;0,0,IF(H19&gt;1134,(('DATOS REFERENCIALES'!$C$9)-(T19-U19-V19-W19-X19-Y19+AB19+AC19-(L19-L19*0.235))),(('DATOS REFERENCIALES'!$C$9/1135)*H19)-(K19+N19+O19+P19+Q19+S19-U19-V19-W19-X19-Y19+AB19+AC19-(L19-L19*0.235))))</f>
        <v>18626.130319775009</v>
      </c>
      <c r="AE19" s="127">
        <f t="shared" si="8"/>
        <v>63555.000000000007</v>
      </c>
      <c r="AF19" s="90">
        <f>'DATOS REFERENCIALES'!$C$13</f>
        <v>5141</v>
      </c>
      <c r="AG19" s="241"/>
      <c r="AH19" s="148"/>
      <c r="AI19" s="90">
        <f>'DATOS REFERENCIALES'!$C$16</f>
        <v>2250</v>
      </c>
      <c r="AJ19" s="148">
        <f>'DATOS REFERENCIALES'!$C$12</f>
        <v>6699</v>
      </c>
      <c r="AK19" s="78">
        <f>+AE19+AF19+AI19+AJ19</f>
        <v>77645</v>
      </c>
      <c r="AL19" s="17"/>
    </row>
    <row r="20" spans="1:40" s="1" customFormat="1" ht="21.75" customHeight="1" x14ac:dyDescent="0.25">
      <c r="A20" s="73">
        <v>845</v>
      </c>
      <c r="B20" s="84" t="s">
        <v>7</v>
      </c>
      <c r="C20" s="29">
        <v>0</v>
      </c>
      <c r="D20" s="29"/>
      <c r="E20" s="29"/>
      <c r="F20" s="29"/>
      <c r="G20" s="54">
        <v>1120</v>
      </c>
      <c r="H20" s="515">
        <v>1135</v>
      </c>
      <c r="I20" s="36"/>
      <c r="J20" s="36"/>
      <c r="K20" s="562">
        <f>H20*'DATOS REFERENCIALES'!$C$4</f>
        <v>21556.476149999999</v>
      </c>
      <c r="L20" s="562"/>
      <c r="M20" s="562"/>
      <c r="N20" s="499">
        <f>LOOKUP(C20,'TABLA ANTIG.'!$A$4:$A$39,'TABLA ANTIG.'!$B$4:$B$39)*(K20)</f>
        <v>0</v>
      </c>
      <c r="O20" s="499">
        <f t="shared" si="1"/>
        <v>2155.6476149999999</v>
      </c>
      <c r="P20" s="588">
        <f>IF(H20&gt;1134,'DATOS REFERENCIALES'!$C$8,IF(('DATOS REFERENCIALES'!$C$8/1135*H20)&lt;'DATOS REFERENCIALES'!$F$8,'DATOS REFERENCIALES'!$F$8))</f>
        <v>13323</v>
      </c>
      <c r="Q20" s="78">
        <f>LOOKUP(C20,'TABLA ANTIG.'!$A$4:$A$39,'TABLA ANTIG.'!$B$4:$B$39)*(P20)</f>
        <v>0</v>
      </c>
      <c r="R20" s="97">
        <v>0</v>
      </c>
      <c r="S20" s="499">
        <f>IF(C20&gt;11,IF(H20&gt;1134,'DATOS REFERENCIALES'!$C$18,IF(('DATOS REFERENCIALES'!$C$18/1135*H20)&lt;'DATOS REFERENCIALES'!$F$18,'DATOS REFERENCIALES'!$F$18,'DATOS REFERENCIALES'!$C$18/1135*H20)),0)</f>
        <v>0</v>
      </c>
      <c r="T20" s="155">
        <f>K20+N20+O20+P20+Q20+R20+S20</f>
        <v>37035.123764999997</v>
      </c>
      <c r="U20" s="78">
        <f t="shared" si="2"/>
        <v>4073.8636141499996</v>
      </c>
      <c r="V20" s="78">
        <f t="shared" si="3"/>
        <v>1111.0537129499999</v>
      </c>
      <c r="W20" s="78">
        <f t="shared" si="3"/>
        <v>1111.0537129499999</v>
      </c>
      <c r="X20" s="78">
        <f t="shared" si="4"/>
        <v>740.70247529999995</v>
      </c>
      <c r="Y20" s="78">
        <f t="shared" si="5"/>
        <v>1666.5805694249998</v>
      </c>
      <c r="Z20" s="27">
        <f t="shared" si="6"/>
        <v>8703.2540847749988</v>
      </c>
      <c r="AA20" s="78">
        <f t="shared" si="7"/>
        <v>28331.869680224998</v>
      </c>
      <c r="AB20" s="548">
        <f>'DATOS REFERENCIALES'!$C$10</f>
        <v>0</v>
      </c>
      <c r="AC20" s="499">
        <f>IF(C20&lt;12,IF(H20&gt;1134,'DATOS REFERENCIALES'!$C$17,'DATOS REFERENCIALES'!$C$17/1135*H20),0)</f>
        <v>16597</v>
      </c>
      <c r="AD20" s="499">
        <f>IF((IF(H20&gt;1134,('DATOS REFERENCIALES'!$C$9-(T20-U20-V20-W20-X20-Y20+AB20+AC20-L20-L20*0.235)),(('DATOS REFERENCIALES'!$C$9/1135)*H20)-(K20+N20+O20+P20+Q20+S20-U20-V20-W20-X20-Y20+AB20+AC20-(L20-L20*0.235))))&lt;0,0,IF(H20&gt;1134,(('DATOS REFERENCIALES'!$C$9)-(T20-U20-V20-W20-X20-Y20+AB20+AC20-(L20-L20*0.235))),(('DATOS REFERENCIALES'!$C$9/1135)*H20)-(K20+N20+O20+P20+Q20+S20-U20-V20-W20-X20-Y20+AB20+AC20-(L20-L20*0.235))))</f>
        <v>18626.130319775009</v>
      </c>
      <c r="AE20" s="558">
        <f t="shared" si="8"/>
        <v>63555.000000000007</v>
      </c>
      <c r="AF20" s="559">
        <f>'DATOS REFERENCIALES'!$C$13</f>
        <v>5141</v>
      </c>
      <c r="AG20" s="560"/>
      <c r="AH20" s="561"/>
      <c r="AI20" s="90">
        <f>'DATOS REFERENCIALES'!$C$16</f>
        <v>2250</v>
      </c>
      <c r="AJ20" s="561">
        <f>'DATOS REFERENCIALES'!$C$12</f>
        <v>6699</v>
      </c>
      <c r="AK20" s="499">
        <f>+AE20+AF20+AI20+AJ20</f>
        <v>77645</v>
      </c>
      <c r="AL20" s="17"/>
    </row>
    <row r="21" spans="1:40" s="1" customFormat="1" ht="20.25" customHeight="1" thickBot="1" x14ac:dyDescent="0.3">
      <c r="A21" s="74">
        <v>5566</v>
      </c>
      <c r="B21" s="85" t="s">
        <v>8</v>
      </c>
      <c r="C21" s="24">
        <v>0</v>
      </c>
      <c r="D21" s="24">
        <v>1</v>
      </c>
      <c r="E21" s="24"/>
      <c r="F21" s="24"/>
      <c r="G21" s="52">
        <v>56</v>
      </c>
      <c r="H21" s="56">
        <f t="shared" si="0"/>
        <v>56</v>
      </c>
      <c r="I21" s="56"/>
      <c r="J21" s="56"/>
      <c r="K21" s="89">
        <f>(H21*'DATOS REFERENCIALES'!$C$4)*D21</f>
        <v>1063.57944</v>
      </c>
      <c r="L21" s="89"/>
      <c r="M21" s="89"/>
      <c r="N21" s="79">
        <f>LOOKUP(C21,'TABLA ANTIG.'!$A$4:$A$39,'TABLA ANTIG.'!$B$4:$B$39)*(K21)</f>
        <v>0</v>
      </c>
      <c r="O21" s="28">
        <f t="shared" si="1"/>
        <v>106.357944</v>
      </c>
      <c r="P21" s="654">
        <f>IF(D21&gt;38,'DATOS REFERENCIALES'!D8,'DATOS REFERENCIALES'!$E$8*D21)</f>
        <v>701.21052631578948</v>
      </c>
      <c r="Q21" s="79">
        <f>LOOKUP(C21,'TABLA ANTIG.'!$A$4:$A$39,'TABLA ANTIG.'!$B$4:$B$39)*(P21)</f>
        <v>0</v>
      </c>
      <c r="R21" s="98">
        <v>0</v>
      </c>
      <c r="S21" s="504">
        <f>IF(C21&gt;11,IF(D21&gt;'DATOS REFERENCIALES'!$J$18,'DATOS REFERENCIALES'!$D$18,'DATOS REFERENCIALES'!$D$18/'DATOS REFERENCIALES'!$J$18*D21),0)</f>
        <v>0</v>
      </c>
      <c r="T21" s="197">
        <f>K21+N21+O21+P21+Q21+R21+S21</f>
        <v>1871.1479103157894</v>
      </c>
      <c r="U21" s="28">
        <f t="shared" si="2"/>
        <v>205.82627013473683</v>
      </c>
      <c r="V21" s="28">
        <f t="shared" si="3"/>
        <v>56.134437309473682</v>
      </c>
      <c r="W21" s="28">
        <f t="shared" si="3"/>
        <v>56.134437309473682</v>
      </c>
      <c r="X21" s="28">
        <f t="shared" si="4"/>
        <v>37.422958206315791</v>
      </c>
      <c r="Y21" s="28">
        <f t="shared" si="5"/>
        <v>84.201655964210516</v>
      </c>
      <c r="Z21" s="28">
        <f t="shared" si="6"/>
        <v>439.71975892421051</v>
      </c>
      <c r="AA21" s="79">
        <f t="shared" si="7"/>
        <v>1431.4281513915789</v>
      </c>
      <c r="AB21" s="147">
        <f>IF(D21&gt;38,'DATOS REFERENCIALES'!$D$10,'DATOS REFERENCIALES'!$E$10*D21)</f>
        <v>0</v>
      </c>
      <c r="AC21" s="585">
        <f>IF(C21&lt;12,IF(D21&gt;'DATOS REFERENCIALES'!$J$17,'DATOS REFERENCIALES'!$D$17,('DATOS REFERENCIALES'!$E$17*D21)),0)</f>
        <v>873.52631578947364</v>
      </c>
      <c r="AD21" s="79">
        <f>IF(D21&gt;41,IF((('DATOS REFERENCIALES'!$D$9)-((T21)-Z21+(AB21)+(AC21)))&lt;0,0,((('DATOS REFERENCIALES'!$D$9)-((T21)-(Z21)+(AB21)+(AC21))))),IF((('DATOS REFERENCIALES'!$E$9*D21)-(((T21)-Z21+(AB21)+(AC21))))&lt;0,0,('DATOS REFERENCIALES'!$E$9*D21)-((T21)-(Z21)+(AB21)+(AC21))))</f>
        <v>872.79553281894732</v>
      </c>
      <c r="AE21" s="128">
        <f t="shared" si="8"/>
        <v>3177.75</v>
      </c>
      <c r="AF21" s="91">
        <f>IF(D21&gt;30,'DATOS REFERENCIALES'!$D$13,('DATOS REFERENCIALES'!$E$13*D21))</f>
        <v>342.73333333333335</v>
      </c>
      <c r="AG21" s="239"/>
      <c r="AH21" s="154"/>
      <c r="AI21" s="593">
        <f>IF(D21&gt;'DATOS REFERENCIALES'!$J$16,'DATOS REFERENCIALES'!$D$16,'DATOS REFERENCIALES'!$E$16*D21)</f>
        <v>150</v>
      </c>
      <c r="AJ21" s="154">
        <f>IF(D21&gt;'DATOS REFERENCIALES'!$J$12,'DATOS REFERENCIALES'!$D$12,'DATOS REFERENCIALES'!$E$12*D21)</f>
        <v>446.6</v>
      </c>
      <c r="AK21" s="79">
        <f>+AE21+AF21+AI21+AJ21</f>
        <v>4117.0833333333339</v>
      </c>
      <c r="AL21" s="17"/>
    </row>
    <row r="22" spans="1:40" s="1" customFormat="1" ht="13.8" thickBot="1" x14ac:dyDescent="0.3">
      <c r="A22" s="10"/>
      <c r="C22" s="13"/>
      <c r="D22" s="13"/>
      <c r="E22" s="13"/>
      <c r="F22" s="13"/>
      <c r="G22" s="13"/>
      <c r="H22" s="13"/>
      <c r="I22" s="13"/>
      <c r="J22" s="13"/>
      <c r="K22" s="14"/>
      <c r="L22" s="14"/>
      <c r="M22" s="14"/>
      <c r="N22" s="13"/>
      <c r="O22" s="13"/>
      <c r="P22" s="14"/>
      <c r="Q22" s="14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516"/>
      <c r="AD22" s="13"/>
      <c r="AE22" s="13"/>
      <c r="AF22" s="13"/>
      <c r="AG22" s="13"/>
      <c r="AH22" s="13"/>
      <c r="AI22" s="516"/>
      <c r="AJ22" s="13"/>
      <c r="AK22" s="13"/>
      <c r="AL22" s="17"/>
    </row>
    <row r="23" spans="1:40" s="1" customFormat="1" ht="19.5" customHeight="1" thickBot="1" x14ac:dyDescent="0.4">
      <c r="A23" s="93" t="s">
        <v>127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3" t="s">
        <v>127</v>
      </c>
      <c r="AF23" s="130"/>
      <c r="AG23" s="130"/>
      <c r="AH23" s="130"/>
      <c r="AI23" s="130"/>
      <c r="AJ23" s="130"/>
      <c r="AK23" s="131"/>
      <c r="AL23" s="17"/>
    </row>
    <row r="24" spans="1:40" s="2" customFormat="1" ht="25.5" customHeight="1" thickBot="1" x14ac:dyDescent="0.3">
      <c r="A24" s="771" t="s">
        <v>1</v>
      </c>
      <c r="B24" s="771" t="s">
        <v>0</v>
      </c>
      <c r="C24" s="732" t="s">
        <v>77</v>
      </c>
      <c r="D24" s="732" t="s">
        <v>117</v>
      </c>
      <c r="E24" s="732" t="s">
        <v>110</v>
      </c>
      <c r="F24" s="732" t="s">
        <v>111</v>
      </c>
      <c r="G24" s="732" t="s">
        <v>102</v>
      </c>
      <c r="H24" s="732" t="s">
        <v>79</v>
      </c>
      <c r="I24" s="732" t="s">
        <v>143</v>
      </c>
      <c r="J24" s="726" t="s">
        <v>142</v>
      </c>
      <c r="K24" s="726" t="s">
        <v>119</v>
      </c>
      <c r="L24" s="726" t="s">
        <v>141</v>
      </c>
      <c r="M24" s="726" t="s">
        <v>142</v>
      </c>
      <c r="N24" s="734" t="s">
        <v>85</v>
      </c>
      <c r="O24" s="775" t="s">
        <v>118</v>
      </c>
      <c r="P24" s="736" t="s">
        <v>86</v>
      </c>
      <c r="Q24" s="734" t="s">
        <v>101</v>
      </c>
      <c r="R24" s="734" t="s">
        <v>84</v>
      </c>
      <c r="S24" s="736" t="s">
        <v>198</v>
      </c>
      <c r="T24" s="734" t="s">
        <v>69</v>
      </c>
      <c r="U24" s="745" t="s">
        <v>59</v>
      </c>
      <c r="V24" s="746"/>
      <c r="W24" s="746"/>
      <c r="X24" s="746"/>
      <c r="Y24" s="747"/>
      <c r="Z24" s="732" t="s">
        <v>68</v>
      </c>
      <c r="AA24" s="732" t="s">
        <v>89</v>
      </c>
      <c r="AB24" s="732" t="s">
        <v>88</v>
      </c>
      <c r="AC24" s="736" t="s">
        <v>199</v>
      </c>
      <c r="AD24" s="732" t="s">
        <v>87</v>
      </c>
      <c r="AE24" s="732" t="s">
        <v>91</v>
      </c>
      <c r="AF24" s="732" t="s">
        <v>90</v>
      </c>
      <c r="AG24" s="732" t="s">
        <v>169</v>
      </c>
      <c r="AH24" s="732" t="s">
        <v>182</v>
      </c>
      <c r="AI24" s="736" t="s">
        <v>197</v>
      </c>
      <c r="AJ24" s="736" t="s">
        <v>195</v>
      </c>
      <c r="AK24" s="732" t="s">
        <v>92</v>
      </c>
      <c r="AL24" s="17"/>
    </row>
    <row r="25" spans="1:40" s="2" customFormat="1" ht="93.75" customHeight="1" thickBot="1" x14ac:dyDescent="0.3">
      <c r="A25" s="772"/>
      <c r="B25" s="772"/>
      <c r="C25" s="733"/>
      <c r="D25" s="733"/>
      <c r="E25" s="733"/>
      <c r="F25" s="733"/>
      <c r="G25" s="733"/>
      <c r="H25" s="733"/>
      <c r="I25" s="733"/>
      <c r="J25" s="727"/>
      <c r="K25" s="727"/>
      <c r="L25" s="727"/>
      <c r="M25" s="727"/>
      <c r="N25" s="735"/>
      <c r="O25" s="776"/>
      <c r="P25" s="737"/>
      <c r="Q25" s="735"/>
      <c r="R25" s="774"/>
      <c r="S25" s="737"/>
      <c r="T25" s="774"/>
      <c r="U25" s="96" t="s">
        <v>138</v>
      </c>
      <c r="V25" s="96" t="s">
        <v>61</v>
      </c>
      <c r="W25" s="96" t="s">
        <v>62</v>
      </c>
      <c r="X25" s="96" t="s">
        <v>63</v>
      </c>
      <c r="Y25" s="96" t="s">
        <v>64</v>
      </c>
      <c r="Z25" s="733"/>
      <c r="AA25" s="756"/>
      <c r="AB25" s="756"/>
      <c r="AC25" s="737"/>
      <c r="AD25" s="756"/>
      <c r="AE25" s="756"/>
      <c r="AF25" s="756"/>
      <c r="AG25" s="733"/>
      <c r="AH25" s="756"/>
      <c r="AI25" s="737"/>
      <c r="AJ25" s="737"/>
      <c r="AK25" s="756"/>
      <c r="AL25" s="17"/>
    </row>
    <row r="26" spans="1:40" s="1" customFormat="1" ht="22.5" customHeight="1" x14ac:dyDescent="0.25">
      <c r="A26" s="333">
        <v>834</v>
      </c>
      <c r="B26" s="373" t="s">
        <v>5</v>
      </c>
      <c r="C26" s="305">
        <v>0</v>
      </c>
      <c r="D26" s="305"/>
      <c r="E26" s="305"/>
      <c r="F26" s="305"/>
      <c r="G26" s="374">
        <v>3125</v>
      </c>
      <c r="H26" s="305">
        <f t="shared" ref="H26:H34" si="9">SUM(G26:G26)</f>
        <v>3125</v>
      </c>
      <c r="I26" s="305"/>
      <c r="J26" s="305"/>
      <c r="K26" s="310">
        <f>H26*'DATOS REFERENCIALES'!$C$4</f>
        <v>59351.53125</v>
      </c>
      <c r="L26" s="310"/>
      <c r="M26" s="310"/>
      <c r="N26" s="312">
        <f>LOOKUP(C26,'TABLA ANTIG.'!$A$4:$A$39,'TABLA ANTIG.'!$B$4:$B$39)*(K26)</f>
        <v>0</v>
      </c>
      <c r="O26" s="312">
        <f t="shared" ref="O26:O34" si="10">K26*0.1</f>
        <v>5935.1531250000007</v>
      </c>
      <c r="P26" s="310">
        <f>IF(H26&gt;2069,'DATOS REFERENCIALES'!$D$8,IF(('DATOS REFERENCIALES'!$D$8/2070*H26)&lt;'DATOS REFERENCIALES'!$G$8,'DATOS REFERENCIALES'!$G$8))</f>
        <v>26646</v>
      </c>
      <c r="Q26" s="312">
        <f>LOOKUP(C26,'TABLA ANTIG.'!$A$4:$A$39,'TABLA ANTIG.'!$B$4:$B$39)*(P26)</f>
        <v>0</v>
      </c>
      <c r="R26" s="388">
        <v>0</v>
      </c>
      <c r="S26" s="312">
        <f>IF(C26&gt;11,IF(H26&gt;2069,'DATOS REFERENCIALES'!$D$18,IF(('DATOS REFERENCIALES'!$D$18/2070*H26)&lt;'DATOS REFERENCIALES'!$G$18,'DATOS REFERENCIALES'!$G$18,'DATOS REFERENCIALES'!$D$18/2070*H26)),0)</f>
        <v>0</v>
      </c>
      <c r="T26" s="389">
        <f>K26+N26+O26+P26+Q26+R26+S26</f>
        <v>91932.684374999997</v>
      </c>
      <c r="U26" s="312">
        <f t="shared" ref="U26:U34" si="11">$T26*11%</f>
        <v>10112.59528125</v>
      </c>
      <c r="V26" s="312">
        <f t="shared" ref="V26:W34" si="12">$T26*3%</f>
        <v>2757.9805312499998</v>
      </c>
      <c r="W26" s="312">
        <f t="shared" si="12"/>
        <v>2757.9805312499998</v>
      </c>
      <c r="X26" s="312">
        <f t="shared" ref="X26:X34" si="13">$T26*2%</f>
        <v>1838.6536874999999</v>
      </c>
      <c r="Y26" s="312">
        <f t="shared" ref="Y26:Y34" si="14">$T26*4.5%</f>
        <v>4136.9707968749999</v>
      </c>
      <c r="Z26" s="389">
        <f t="shared" ref="Z26:Z34" si="15">SUM(U26:Y26)</f>
        <v>21604.180828124998</v>
      </c>
      <c r="AA26" s="389">
        <f t="shared" ref="AA26:AA34" si="16">T26-Z26</f>
        <v>70328.503546874999</v>
      </c>
      <c r="AB26" s="390">
        <f>'DATOS REFERENCIALES'!$D$10</f>
        <v>0</v>
      </c>
      <c r="AC26" s="389">
        <f>IF(C26&lt;12,IF(H26&gt;2069,'DATOS REFERENCIALES'!$D$17,'DATOS REFERENCIALES'!$D$17/2070*H26),0)</f>
        <v>33194</v>
      </c>
      <c r="AD26" s="389">
        <f>IF((IF(H26&gt;2069,('DATOS REFERENCIALES'!$D$9-(T26-U26-V26-W26-X26-Y26+AB26+AC26)),(('DATOS REFERENCIALES'!$D$9/2070)*H26)-(K26+N26+O26+P26+Q26+S26-U26-V26-W26-X26-Y26+AB26+AC26)))&lt;0,0,IF(H26&gt;2069,(('DATOS REFERENCIALES'!$D$9)-(T26-U26-V26-W26-X26-Y26+AB26+AC26)),(('DATOS REFERENCIALES'!$D$9/2070)*H26)-(K26+N26+O26+P26+Q26+S26-U26-V26-W26-X26-Y26+AB26+AC26)))</f>
        <v>23587.496453125001</v>
      </c>
      <c r="AE26" s="389">
        <f t="shared" ref="AE26:AE34" si="17">SUM(AA26:AD26)</f>
        <v>127110</v>
      </c>
      <c r="AF26" s="317">
        <f>'DATOS REFERENCIALES'!$D$13</f>
        <v>10282</v>
      </c>
      <c r="AG26" s="338"/>
      <c r="AH26" s="388"/>
      <c r="AI26" s="317">
        <f>'DATOS REFERENCIALES'!$D$16</f>
        <v>4500</v>
      </c>
      <c r="AJ26" s="391">
        <f>'DATOS REFERENCIALES'!$D$12</f>
        <v>13398</v>
      </c>
      <c r="AK26" s="763">
        <f>+AE26+AE27+AF26+AI26+AJ26</f>
        <v>165778.30584484374</v>
      </c>
      <c r="AL26" s="17"/>
    </row>
    <row r="27" spans="1:40" s="1" customFormat="1" ht="28.5" customHeight="1" thickBot="1" x14ac:dyDescent="0.3">
      <c r="A27" s="339">
        <v>834</v>
      </c>
      <c r="B27" s="375" t="s">
        <v>5</v>
      </c>
      <c r="C27" s="320">
        <f>IF(C26&gt;0,C26,0)</f>
        <v>0</v>
      </c>
      <c r="D27" s="320"/>
      <c r="E27" s="320"/>
      <c r="F27" s="320"/>
      <c r="G27" s="376"/>
      <c r="H27" s="320"/>
      <c r="I27" s="534">
        <f>H26*'DATOS REFERENCIALES'!$K$4/100</f>
        <v>468.75</v>
      </c>
      <c r="J27" s="324" t="s">
        <v>145</v>
      </c>
      <c r="K27" s="325"/>
      <c r="L27" s="325">
        <f>I27*'DATOS REFERENCIALES'!$C$4</f>
        <v>8902.7296874999993</v>
      </c>
      <c r="M27" s="325">
        <f>IF(J27='DATOS REFERENCIALES'!$C$31,K26*'DATOS REFERENCIALES'!$D$31,IF(J27='DATOS REFERENCIALES'!$C$32,('DATOS REFERENCIALES'!$D$32*K26),IF(J27='DATOS REFERENCIALES'!$C$33,('DATOS REFERENCIALES'!$D$33*K26),IF(J27='DATOS REFERENCIALES'!$C$34,('DATOS REFERENCIALES'!$D$34*K26),IF(J27='DATOS REFERENCIALES'!$C$35,('DATOS REFERENCIALES'!$D$35*K26),IF(J27='DATOS REFERENCIALES'!$C$36,('DATOS REFERENCIALES'!$D$36*K26),IF(J27='DATOS REFERENCIALES'!$C$37,('DATOS REFERENCIALES'!$D$37*K26),IF(J27='DATOS REFERENCIALES'!$C$38,('DATOS REFERENCIALES'!$D$38*K26),0))))))))</f>
        <v>3561.0918750000001</v>
      </c>
      <c r="N27" s="327">
        <f>LOOKUP(C27,'TABLA ANTIG.'!$A$4:$A$39,'TABLA ANTIG.'!$B$4:$B$39)*(L27+M27)</f>
        <v>0</v>
      </c>
      <c r="O27" s="327">
        <f>(L27+M27)*0.1</f>
        <v>1246.38215625</v>
      </c>
      <c r="P27" s="325"/>
      <c r="Q27" s="327"/>
      <c r="R27" s="326"/>
      <c r="S27" s="327"/>
      <c r="T27" s="327">
        <f>L27+M27+N27+O27+P27+Q27+R27</f>
        <v>13710.203718749999</v>
      </c>
      <c r="U27" s="330">
        <f t="shared" si="11"/>
        <v>1508.1224090624999</v>
      </c>
      <c r="V27" s="327">
        <f t="shared" si="12"/>
        <v>411.30611156249995</v>
      </c>
      <c r="W27" s="330">
        <f t="shared" si="12"/>
        <v>411.30611156249995</v>
      </c>
      <c r="X27" s="327">
        <f>$T27*2%</f>
        <v>274.204074375</v>
      </c>
      <c r="Y27" s="327">
        <f t="shared" si="14"/>
        <v>616.95916734374998</v>
      </c>
      <c r="Z27" s="327">
        <f t="shared" si="15"/>
        <v>3221.8978739062495</v>
      </c>
      <c r="AA27" s="331">
        <f t="shared" si="16"/>
        <v>10488.30584484375</v>
      </c>
      <c r="AB27" s="327"/>
      <c r="AC27" s="327"/>
      <c r="AD27" s="327"/>
      <c r="AE27" s="326">
        <f t="shared" si="17"/>
        <v>10488.30584484375</v>
      </c>
      <c r="AF27" s="332"/>
      <c r="AG27" s="344"/>
      <c r="AH27" s="326"/>
      <c r="AI27" s="410"/>
      <c r="AJ27" s="327"/>
      <c r="AK27" s="764"/>
      <c r="AL27" s="17"/>
    </row>
    <row r="28" spans="1:40" s="1" customFormat="1" ht="27.75" customHeight="1" thickBot="1" x14ac:dyDescent="0.3">
      <c r="A28" s="363">
        <v>870</v>
      </c>
      <c r="B28" s="244" t="s">
        <v>3</v>
      </c>
      <c r="C28" s="245">
        <v>0</v>
      </c>
      <c r="D28" s="245"/>
      <c r="E28" s="245"/>
      <c r="F28" s="245"/>
      <c r="G28" s="246">
        <v>2667</v>
      </c>
      <c r="H28" s="245">
        <f t="shared" si="9"/>
        <v>2667</v>
      </c>
      <c r="I28" s="523"/>
      <c r="J28" s="245"/>
      <c r="K28" s="247">
        <f>H28*'DATOS REFERENCIALES'!$C$4</f>
        <v>50652.970829999998</v>
      </c>
      <c r="L28" s="247"/>
      <c r="M28" s="247"/>
      <c r="N28" s="249">
        <f>LOOKUP(C28,'TABLA ANTIG.'!$A$4:$A$39,'TABLA ANTIG.'!$B$4:$B$39)*(K28)</f>
        <v>0</v>
      </c>
      <c r="O28" s="249">
        <f t="shared" si="10"/>
        <v>5065.2970830000004</v>
      </c>
      <c r="P28" s="247">
        <f>IF(H28&gt;2069,'DATOS REFERENCIALES'!$D$8,IF(('DATOS REFERENCIALES'!$D$8/2070*H28)&lt;'DATOS REFERENCIALES'!$G$8,'DATOS REFERENCIALES'!$G$8))</f>
        <v>26646</v>
      </c>
      <c r="Q28" s="249">
        <f>LOOKUP(C28,'TABLA ANTIG.'!$A$4:$A$39,'TABLA ANTIG.'!$B$4:$B$39)*(P28)</f>
        <v>0</v>
      </c>
      <c r="R28" s="251">
        <v>0</v>
      </c>
      <c r="S28" s="249">
        <f>IF(C28&gt;11,IF(H28&gt;2069,'DATOS REFERENCIALES'!$D$18,IF(('DATOS REFERENCIALES'!$D$18/2070*H28)&lt;'DATOS REFERENCIALES'!$G$18,'DATOS REFERENCIALES'!$G$18,'DATOS REFERENCIALES'!$D$18/2070*H28)),0)</f>
        <v>0</v>
      </c>
      <c r="T28" s="249">
        <f>K28+N28+O28+P28+Q28+R28+S28</f>
        <v>82364.267912999989</v>
      </c>
      <c r="U28" s="249">
        <f t="shared" si="11"/>
        <v>9060.0694704299985</v>
      </c>
      <c r="V28" s="382">
        <f t="shared" si="12"/>
        <v>2470.9280373899996</v>
      </c>
      <c r="W28" s="382">
        <f t="shared" si="12"/>
        <v>2470.9280373899996</v>
      </c>
      <c r="X28" s="382">
        <f t="shared" si="13"/>
        <v>1647.2853582599998</v>
      </c>
      <c r="Y28" s="382">
        <f t="shared" si="14"/>
        <v>3706.3920560849992</v>
      </c>
      <c r="Z28" s="382">
        <f t="shared" si="15"/>
        <v>19355.602959554999</v>
      </c>
      <c r="AA28" s="382">
        <f t="shared" si="16"/>
        <v>63008.66495344499</v>
      </c>
      <c r="AB28" s="392">
        <f>'DATOS REFERENCIALES'!$D$10</f>
        <v>0</v>
      </c>
      <c r="AC28" s="382">
        <f>IF(C28&lt;12,IF(H28&gt;2069,'DATOS REFERENCIALES'!$D$17,'DATOS REFERENCIALES'!$D$17/2070*H28),0)</f>
        <v>33194</v>
      </c>
      <c r="AD28" s="382">
        <f>IF((IF(H28&gt;2069,('DATOS REFERENCIALES'!$D$9-(T28-U28-V28-W28-X28-Y28+AB28+AC28)),(('DATOS REFERENCIALES'!$D$9/2070)*H28)-(K28+N28+O28+P28+Q28+S28-U28-V28-W28-X28-Y28+AB28+AC28)))&lt;0,0,IF(H28&gt;2069,(('DATOS REFERENCIALES'!$D$9)-(T28-U28-V28-W28-X28-Y28+AB28+AC28)),(('DATOS REFERENCIALES'!$D$9/2070)*H28)-(K28+N28+O28+P28+Q28+S28-U28-V28-W28-X28-Y28+AB28+AC28)))</f>
        <v>30907.335046555003</v>
      </c>
      <c r="AE28" s="382">
        <f t="shared" si="17"/>
        <v>127110</v>
      </c>
      <c r="AF28" s="483">
        <f>'DATOS REFERENCIALES'!$D$13</f>
        <v>10282</v>
      </c>
      <c r="AG28" s="366"/>
      <c r="AH28" s="457"/>
      <c r="AI28" s="254">
        <f>'DATOS REFERENCIALES'!$D$16</f>
        <v>4500</v>
      </c>
      <c r="AJ28" s="457">
        <f>'DATOS REFERENCIALES'!$D$12</f>
        <v>13398</v>
      </c>
      <c r="AK28" s="765">
        <f>+AE28+AE29+AF28+AI28+AJ28</f>
        <v>161683.67124301675</v>
      </c>
      <c r="AL28" s="17"/>
    </row>
    <row r="29" spans="1:40" s="1" customFormat="1" ht="27.75" customHeight="1" thickBot="1" x14ac:dyDescent="0.3">
      <c r="A29" s="367">
        <v>870</v>
      </c>
      <c r="B29" s="384" t="s">
        <v>3</v>
      </c>
      <c r="C29" s="257">
        <f>IF(C28&gt;0,C28,0)</f>
        <v>0</v>
      </c>
      <c r="D29" s="296"/>
      <c r="E29" s="296"/>
      <c r="F29" s="296"/>
      <c r="G29" s="385"/>
      <c r="H29" s="296"/>
      <c r="I29" s="529">
        <f>H28*'DATOS REFERENCIALES'!$K$4/100</f>
        <v>400.05</v>
      </c>
      <c r="J29" s="386"/>
      <c r="K29" s="300"/>
      <c r="L29" s="300">
        <f>I29*'DATOS REFERENCIALES'!$C$4</f>
        <v>7597.9456245000001</v>
      </c>
      <c r="M29" s="300"/>
      <c r="N29" s="268">
        <f>LOOKUP(C29,'TABLA ANTIG.'!$A$4:$A$39,'TABLA ANTIG.'!$B$4:$B$39)*(L29+M29)</f>
        <v>0</v>
      </c>
      <c r="O29" s="268">
        <f>(L29+M29)*0.1</f>
        <v>759.79456245000006</v>
      </c>
      <c r="P29" s="300"/>
      <c r="Q29" s="268"/>
      <c r="R29" s="266"/>
      <c r="S29" s="301"/>
      <c r="T29" s="268">
        <f>L29+M29+N29+O29+P29+Q29+R29</f>
        <v>8357.7401869500009</v>
      </c>
      <c r="U29" s="268">
        <f t="shared" si="11"/>
        <v>919.35142056450013</v>
      </c>
      <c r="V29" s="268">
        <f t="shared" si="12"/>
        <v>250.73220560850001</v>
      </c>
      <c r="W29" s="301">
        <f t="shared" si="12"/>
        <v>250.73220560850001</v>
      </c>
      <c r="X29" s="268">
        <f>$T29*2%</f>
        <v>167.15480373900002</v>
      </c>
      <c r="Y29" s="268">
        <f t="shared" si="14"/>
        <v>376.09830841275004</v>
      </c>
      <c r="Z29" s="268">
        <f t="shared" si="15"/>
        <v>1964.06894393325</v>
      </c>
      <c r="AA29" s="302">
        <f t="shared" si="16"/>
        <v>6393.6712430167509</v>
      </c>
      <c r="AB29" s="268"/>
      <c r="AC29" s="268"/>
      <c r="AD29" s="268"/>
      <c r="AE29" s="266">
        <f t="shared" si="17"/>
        <v>6393.6712430167509</v>
      </c>
      <c r="AF29" s="481"/>
      <c r="AG29" s="372"/>
      <c r="AH29" s="266"/>
      <c r="AI29" s="263"/>
      <c r="AJ29" s="302"/>
      <c r="AK29" s="766"/>
      <c r="AL29" s="506"/>
    </row>
    <row r="30" spans="1:40" s="1" customFormat="1" ht="27.75" customHeight="1" x14ac:dyDescent="0.25">
      <c r="A30" s="345">
        <v>849</v>
      </c>
      <c r="B30" s="270" t="s">
        <v>4</v>
      </c>
      <c r="C30" s="271">
        <v>0</v>
      </c>
      <c r="D30" s="271"/>
      <c r="E30" s="271"/>
      <c r="F30" s="271"/>
      <c r="G30" s="272">
        <v>2359</v>
      </c>
      <c r="H30" s="271">
        <f t="shared" si="9"/>
        <v>2359</v>
      </c>
      <c r="I30" s="524"/>
      <c r="J30" s="271"/>
      <c r="K30" s="273">
        <f>H30*'DATOS REFERENCIALES'!$C$4</f>
        <v>44803.283909999998</v>
      </c>
      <c r="L30" s="273"/>
      <c r="M30" s="273"/>
      <c r="N30" s="275">
        <f>LOOKUP(C30,'TABLA ANTIG.'!$A$4:$A$39,'TABLA ANTIG.'!$B$4:$B$39)*(K30)</f>
        <v>0</v>
      </c>
      <c r="O30" s="275">
        <f t="shared" si="10"/>
        <v>4480.328391</v>
      </c>
      <c r="P30" s="273">
        <f>IF(H30&gt;2069,'DATOS REFERENCIALES'!$D$8,IF(('DATOS REFERENCIALES'!$D$8/2070*H30)&lt;'DATOS REFERENCIALES'!$G$8,'DATOS REFERENCIALES'!$G$8))</f>
        <v>26646</v>
      </c>
      <c r="Q30" s="275">
        <f>LOOKUP(C30,'TABLA ANTIG.'!$A$4:$A$39,'TABLA ANTIG.'!$B$4:$B$39)*(P30)</f>
        <v>0</v>
      </c>
      <c r="R30" s="278">
        <v>0</v>
      </c>
      <c r="S30" s="275">
        <f>IF(C30&gt;11,IF(H30&gt;2069,'DATOS REFERENCIALES'!$D$18,IF(('DATOS REFERENCIALES'!$D$18/2070*H30)&lt;'DATOS REFERENCIALES'!$G$18,'DATOS REFERENCIALES'!$G$18,'DATOS REFERENCIALES'!$D$18/2070*H30)),0)</f>
        <v>0</v>
      </c>
      <c r="T30" s="275">
        <f>K30+N30+O30+P30+Q30+R30+S30</f>
        <v>75929.612301000001</v>
      </c>
      <c r="U30" s="393">
        <f t="shared" si="11"/>
        <v>8352.2573531100006</v>
      </c>
      <c r="V30" s="378">
        <f t="shared" si="12"/>
        <v>2277.8883690299999</v>
      </c>
      <c r="W30" s="378">
        <f t="shared" si="12"/>
        <v>2277.8883690299999</v>
      </c>
      <c r="X30" s="378">
        <f t="shared" si="13"/>
        <v>1518.5922460199999</v>
      </c>
      <c r="Y30" s="378">
        <f t="shared" si="14"/>
        <v>3416.8325535449999</v>
      </c>
      <c r="Z30" s="378">
        <f t="shared" si="15"/>
        <v>17843.458890735001</v>
      </c>
      <c r="AA30" s="378">
        <f t="shared" si="16"/>
        <v>58086.153410265004</v>
      </c>
      <c r="AB30" s="394">
        <f>'DATOS REFERENCIALES'!$D$10</f>
        <v>0</v>
      </c>
      <c r="AC30" s="378">
        <f>IF(C30&lt;12,IF(H30&gt;2069,'DATOS REFERENCIALES'!$D$17,'DATOS REFERENCIALES'!$D$17/2070*H30),0)</f>
        <v>33194</v>
      </c>
      <c r="AD30" s="378">
        <f>IF((IF(H30&gt;2069,('DATOS REFERENCIALES'!$D$9-(T30-U30-V30-W30-X30-Y30+AB30+AC30)),(('DATOS REFERENCIALES'!$D$9/2070)*H30)-(K30+N30+O30+P30+Q30+S30-U30-V30-W30-X30-Y30+AB30+AC30)))&lt;0,0,IF(H30&gt;2069,(('DATOS REFERENCIALES'!$D$9)-(T30-U30-V30-W30-X30-Y30+AB30+AC30)),(('DATOS REFERENCIALES'!$D$9/2070)*H30)-(K30+N30+O30+P30+Q30+S30-U30-V30-W30-X30-Y30+AB30+AC30)))</f>
        <v>35829.846589735011</v>
      </c>
      <c r="AE30" s="378">
        <f t="shared" si="17"/>
        <v>127110.00000000001</v>
      </c>
      <c r="AF30" s="484">
        <f>'DATOS REFERENCIALES'!$D$13</f>
        <v>10282</v>
      </c>
      <c r="AG30" s="351"/>
      <c r="AH30" s="454"/>
      <c r="AI30" s="279">
        <f>'DATOS REFERENCIALES'!$D$16</f>
        <v>4500</v>
      </c>
      <c r="AJ30" s="454">
        <f>'DATOS REFERENCIALES'!$D$12</f>
        <v>13398</v>
      </c>
      <c r="AK30" s="761">
        <f>+AE30+AE31+AF30+AI30+AJ30</f>
        <v>160945.29451153977</v>
      </c>
      <c r="AL30" s="17"/>
      <c r="AM30" s="9"/>
      <c r="AN30" s="8"/>
    </row>
    <row r="31" spans="1:40" s="1" customFormat="1" ht="27.75" customHeight="1" thickBot="1" x14ac:dyDescent="0.3">
      <c r="A31" s="352">
        <v>849</v>
      </c>
      <c r="B31" s="281" t="s">
        <v>4</v>
      </c>
      <c r="C31" s="282">
        <f>IF(C30&gt;0,C30,0)</f>
        <v>0</v>
      </c>
      <c r="D31" s="282"/>
      <c r="E31" s="282"/>
      <c r="F31" s="282"/>
      <c r="G31" s="283"/>
      <c r="H31" s="282"/>
      <c r="I31" s="525">
        <f>H30*'DATOS REFERENCIALES'!$K$4/100</f>
        <v>353.85</v>
      </c>
      <c r="J31" s="380"/>
      <c r="K31" s="284"/>
      <c r="L31" s="284">
        <f>I31*'DATOS REFERENCIALES'!$C$4</f>
        <v>6720.4925865000005</v>
      </c>
      <c r="M31" s="284"/>
      <c r="N31" s="288">
        <f>LOOKUP(C31,'TABLA ANTIG.'!$A$4:$A$39,'TABLA ANTIG.'!$B$4:$B$39)*(L31+M31)</f>
        <v>0</v>
      </c>
      <c r="O31" s="288">
        <f>(L31+M31)*0.1</f>
        <v>672.04925865000007</v>
      </c>
      <c r="P31" s="284"/>
      <c r="Q31" s="288"/>
      <c r="R31" s="290"/>
      <c r="S31" s="505"/>
      <c r="T31" s="288">
        <f>L31+M31+N31+O31+P31+Q31+R31</f>
        <v>7392.5418451500009</v>
      </c>
      <c r="U31" s="289">
        <f t="shared" si="11"/>
        <v>813.17960296650006</v>
      </c>
      <c r="V31" s="288">
        <f t="shared" si="12"/>
        <v>221.77625535450002</v>
      </c>
      <c r="W31" s="289">
        <f t="shared" si="12"/>
        <v>221.77625535450002</v>
      </c>
      <c r="X31" s="288">
        <f>$T31*2%</f>
        <v>147.85083690300002</v>
      </c>
      <c r="Y31" s="288">
        <f t="shared" si="14"/>
        <v>332.66438303175005</v>
      </c>
      <c r="Z31" s="288">
        <f t="shared" si="15"/>
        <v>1737.2473336102503</v>
      </c>
      <c r="AA31" s="291">
        <f t="shared" si="16"/>
        <v>5655.2945115397506</v>
      </c>
      <c r="AB31" s="288"/>
      <c r="AC31" s="288"/>
      <c r="AD31" s="288"/>
      <c r="AE31" s="290">
        <f t="shared" si="17"/>
        <v>5655.2945115397506</v>
      </c>
      <c r="AF31" s="292"/>
      <c r="AG31" s="358"/>
      <c r="AH31" s="290"/>
      <c r="AI31" s="419"/>
      <c r="AJ31" s="291"/>
      <c r="AK31" s="762"/>
      <c r="AL31" s="17"/>
      <c r="AM31" s="9"/>
      <c r="AN31" s="8"/>
    </row>
    <row r="32" spans="1:40" s="7" customFormat="1" ht="21" customHeight="1" x14ac:dyDescent="0.25">
      <c r="A32" s="156">
        <v>855</v>
      </c>
      <c r="B32" s="157" t="s">
        <v>7</v>
      </c>
      <c r="C32" s="117">
        <v>0</v>
      </c>
      <c r="D32" s="184"/>
      <c r="E32" s="184"/>
      <c r="F32" s="184"/>
      <c r="G32" s="206">
        <v>2043</v>
      </c>
      <c r="H32" s="514">
        <v>2070</v>
      </c>
      <c r="I32" s="531"/>
      <c r="J32" s="184"/>
      <c r="K32" s="103">
        <f>H32*'DATOS REFERENCIALES'!$C$4</f>
        <v>39314.454299999998</v>
      </c>
      <c r="L32" s="103"/>
      <c r="M32" s="103"/>
      <c r="N32" s="104">
        <f>LOOKUP(C32,'TABLA ANTIG.'!$A$4:$A$39,'TABLA ANTIG.'!$B$4:$B$39)*(K32)</f>
        <v>0</v>
      </c>
      <c r="O32" s="142">
        <f t="shared" si="10"/>
        <v>3931.4454299999998</v>
      </c>
      <c r="P32" s="592">
        <f>IF(H32&gt;2069,'DATOS REFERENCIALES'!$D$8,IF(('DATOS REFERENCIALES'!$D$8/2070*H32)&lt;'DATOS REFERENCIALES'!$G$8,'DATOS REFERENCIALES'!$G$8))</f>
        <v>26646</v>
      </c>
      <c r="Q32" s="143">
        <f>LOOKUP(C32,'TABLA ANTIG.'!$A$4:$A$39,'TABLA ANTIG.'!$B$4:$B$39)*(P32)</f>
        <v>0</v>
      </c>
      <c r="R32" s="146">
        <v>0</v>
      </c>
      <c r="S32" s="497">
        <f>IF(C32&gt;11,IF(H32&gt;2069,'DATOS REFERENCIALES'!$D$18,IF(('DATOS REFERENCIALES'!$D$18/2070*H32)&lt;'DATOS REFERENCIALES'!$G$18,'DATOS REFERENCIALES'!$G$18,'DATOS REFERENCIALES'!$D$18/2070*H32)),0)</f>
        <v>0</v>
      </c>
      <c r="T32" s="204">
        <f>K32+N32+O32+P32+Q32+R32+S32</f>
        <v>69891.899730000005</v>
      </c>
      <c r="U32" s="78">
        <f t="shared" si="11"/>
        <v>7688.1089703000007</v>
      </c>
      <c r="V32" s="78">
        <f t="shared" si="12"/>
        <v>2096.7569919000002</v>
      </c>
      <c r="W32" s="78">
        <f t="shared" si="12"/>
        <v>2096.7569919000002</v>
      </c>
      <c r="X32" s="78">
        <f t="shared" si="13"/>
        <v>1397.8379946000002</v>
      </c>
      <c r="Y32" s="78">
        <f t="shared" si="14"/>
        <v>3145.1354878500001</v>
      </c>
      <c r="Z32" s="27">
        <f t="shared" si="15"/>
        <v>16424.59643655</v>
      </c>
      <c r="AA32" s="78">
        <f t="shared" si="16"/>
        <v>53467.303293450008</v>
      </c>
      <c r="AB32" s="92">
        <f>'DATOS REFERENCIALES'!$D$10</f>
        <v>0</v>
      </c>
      <c r="AC32" s="499">
        <f>IF(C32&lt;12,IF(H32&gt;2069,'DATOS REFERENCIALES'!$D$17,'DATOS REFERENCIALES'!$D$17/2070*H32),0)</f>
        <v>33194</v>
      </c>
      <c r="AD32" s="78">
        <f>IF((IF(H32&gt;2069,('DATOS REFERENCIALES'!$D$9-(T32-U32-V32-W32-X32-Y32+AB32+AC32)),(('DATOS REFERENCIALES'!$D$9/2070)*H32)-(K32+N32+O32+P32+Q32+S32-U32-V32-W32-X32-Y32+AB32+AC32)))&lt;0,0,IF(H32&gt;2069,(('DATOS REFERENCIALES'!$D$9)-(T32-U32-V32-W32-X32-Y32+AB32+AC32)),(('DATOS REFERENCIALES'!$D$9/2070)*H32)-(K32+N32+O32+P32+Q32+S32-U32-V32-W32-X32-Y32+AB32+AC32)))</f>
        <v>40448.696706549992</v>
      </c>
      <c r="AE32" s="78">
        <f t="shared" si="17"/>
        <v>127110</v>
      </c>
      <c r="AF32" s="90">
        <f>'DATOS REFERENCIALES'!$D$13</f>
        <v>10282</v>
      </c>
      <c r="AG32" s="240"/>
      <c r="AH32" s="148"/>
      <c r="AI32" s="594">
        <f>'DATOS REFERENCIALES'!$D$16</f>
        <v>4500</v>
      </c>
      <c r="AJ32" s="148">
        <f>'DATOS REFERENCIALES'!$D$12</f>
        <v>13398</v>
      </c>
      <c r="AK32" s="78">
        <f>+AE32+AF32+AI32+AJ32</f>
        <v>155290</v>
      </c>
      <c r="AL32" s="17"/>
      <c r="AM32" s="9"/>
      <c r="AN32" s="8"/>
    </row>
    <row r="33" spans="1:40" s="7" customFormat="1" ht="23.25" customHeight="1" x14ac:dyDescent="0.25">
      <c r="A33" s="73">
        <v>856</v>
      </c>
      <c r="B33" s="100" t="s">
        <v>70</v>
      </c>
      <c r="C33" s="34">
        <v>0</v>
      </c>
      <c r="D33" s="36"/>
      <c r="E33" s="36"/>
      <c r="F33" s="36"/>
      <c r="G33" s="54">
        <v>2043</v>
      </c>
      <c r="H33" s="515">
        <v>2070</v>
      </c>
      <c r="I33" s="532"/>
      <c r="J33" s="36"/>
      <c r="K33" s="88">
        <f>H33*'DATOS REFERENCIALES'!$C$4</f>
        <v>39314.454299999998</v>
      </c>
      <c r="L33" s="88"/>
      <c r="M33" s="88"/>
      <c r="N33" s="78">
        <f>LOOKUP(C33,'TABLA ANTIG.'!$A$4:$A$39,'TABLA ANTIG.'!$B$4:$B$39)*(K33)</f>
        <v>0</v>
      </c>
      <c r="O33" s="97">
        <f t="shared" si="10"/>
        <v>3931.4454299999998</v>
      </c>
      <c r="P33" s="562">
        <f>IF(H33&gt;2069,'DATOS REFERENCIALES'!$D$8,IF(('DATOS REFERENCIALES'!$D$8/2070*H33)&lt;'DATOS REFERENCIALES'!$G$8,'DATOS REFERENCIALES'!$G$8))</f>
        <v>26646</v>
      </c>
      <c r="Q33" s="127">
        <f>LOOKUP(C33,'TABLA ANTIG.'!$A$4:$A$39,'TABLA ANTIG.'!$B$4:$B$39)*(P33)</f>
        <v>0</v>
      </c>
      <c r="R33" s="144">
        <v>0</v>
      </c>
      <c r="S33" s="499">
        <f>IF(C33&gt;11,IF(H33&gt;2069,'DATOS REFERENCIALES'!$D$18,IF(('DATOS REFERENCIALES'!$D$18/2070*H33)&lt;'DATOS REFERENCIALES'!$G$18,'DATOS REFERENCIALES'!$G$18,'DATOS REFERENCIALES'!$D$18/2070*H33)),0)</f>
        <v>0</v>
      </c>
      <c r="T33" s="155">
        <f>K33+N33+O33+P33+Q33+R33+S33</f>
        <v>69891.899730000005</v>
      </c>
      <c r="U33" s="78">
        <f t="shared" si="11"/>
        <v>7688.1089703000007</v>
      </c>
      <c r="V33" s="78">
        <f t="shared" si="12"/>
        <v>2096.7569919000002</v>
      </c>
      <c r="W33" s="78">
        <f t="shared" si="12"/>
        <v>2096.7569919000002</v>
      </c>
      <c r="X33" s="78">
        <f t="shared" si="13"/>
        <v>1397.8379946000002</v>
      </c>
      <c r="Y33" s="78">
        <f t="shared" si="14"/>
        <v>3145.1354878500001</v>
      </c>
      <c r="Z33" s="27">
        <f t="shared" si="15"/>
        <v>16424.59643655</v>
      </c>
      <c r="AA33" s="78">
        <f t="shared" si="16"/>
        <v>53467.303293450008</v>
      </c>
      <c r="AB33" s="92">
        <f>'DATOS REFERENCIALES'!$D$10</f>
        <v>0</v>
      </c>
      <c r="AC33" s="499">
        <f>IF(C33&lt;12,IF(H33&gt;2069,'DATOS REFERENCIALES'!$D$17,'DATOS REFERENCIALES'!$D$17/2070*H33),0)</f>
        <v>33194</v>
      </c>
      <c r="AD33" s="78">
        <f>IF((IF(H33&gt;2069,('DATOS REFERENCIALES'!$D$9-(T33-U33-V33-W33-X33-Y33+AB33+AC33)),(('DATOS REFERENCIALES'!$D$9/2070)*H33)-(K33+N33+O33+P33+Q33+S33-U33-V33-W33-X33-Y33+AB33+AC33)))&lt;0,0,IF(H33&gt;2069,(('DATOS REFERENCIALES'!$D$9)-(T33-U33-V33-W33-X33-Y33+AB33+AC33)),(('DATOS REFERENCIALES'!$D$9/2070)*H33)-(K33+N33+O33+P33+Q33+S33-U33-V33-W33-X33-Y33+AB33+AC33)))</f>
        <v>40448.696706549992</v>
      </c>
      <c r="AE33" s="78">
        <f t="shared" si="17"/>
        <v>127110</v>
      </c>
      <c r="AF33" s="90">
        <f>'DATOS REFERENCIALES'!$D$13</f>
        <v>10282</v>
      </c>
      <c r="AG33" s="241"/>
      <c r="AH33" s="148"/>
      <c r="AI33" s="559">
        <f>'DATOS REFERENCIALES'!$D$16</f>
        <v>4500</v>
      </c>
      <c r="AJ33" s="148">
        <f>'DATOS REFERENCIALES'!$D$12</f>
        <v>13398</v>
      </c>
      <c r="AK33" s="78">
        <f>+AE33+AF33+AI33+AJ33</f>
        <v>155290</v>
      </c>
      <c r="AL33" s="17"/>
      <c r="AM33" s="9"/>
      <c r="AN33" s="8"/>
    </row>
    <row r="34" spans="1:40" s="1" customFormat="1" ht="24" customHeight="1" thickBot="1" x14ac:dyDescent="0.3">
      <c r="A34" s="74">
        <v>5566</v>
      </c>
      <c r="B34" s="101" t="s">
        <v>9</v>
      </c>
      <c r="C34" s="56">
        <v>0</v>
      </c>
      <c r="D34" s="24">
        <v>1</v>
      </c>
      <c r="E34" s="56"/>
      <c r="F34" s="56"/>
      <c r="G34" s="52">
        <v>56</v>
      </c>
      <c r="H34" s="56">
        <f t="shared" si="9"/>
        <v>56</v>
      </c>
      <c r="I34" s="56"/>
      <c r="J34" s="56"/>
      <c r="K34" s="89">
        <f>(H34*'DATOS REFERENCIALES'!$C$4)*D34</f>
        <v>1063.57944</v>
      </c>
      <c r="L34" s="89"/>
      <c r="M34" s="89"/>
      <c r="N34" s="79">
        <f>LOOKUP(C34,'TABLA ANTIG.'!$A$4:$A$39,'TABLA ANTIG.'!$B$4:$B$39)*(K34)</f>
        <v>0</v>
      </c>
      <c r="O34" s="98">
        <f t="shared" si="10"/>
        <v>106.357944</v>
      </c>
      <c r="P34" s="653">
        <f>IF(D34&gt;38,'DATOS REFERENCIALES'!D8,'DATOS REFERENCIALES'!$E$8*D34)</f>
        <v>701.21052631578948</v>
      </c>
      <c r="Q34" s="128">
        <f>LOOKUP(C34,'TABLA ANTIG.'!$A$4:$A$39,'TABLA ANTIG.'!$B$4:$B$39)*(P34)</f>
        <v>0</v>
      </c>
      <c r="R34" s="98">
        <v>0</v>
      </c>
      <c r="S34" s="504">
        <f>IF(C34&gt;11,IF(D34&gt;'DATOS REFERENCIALES'!$J$18,'DATOS REFERENCIALES'!$D$18,'DATOS REFERENCIALES'!$D$18/'DATOS REFERENCIALES'!$J$18*D34),0)</f>
        <v>0</v>
      </c>
      <c r="T34" s="197">
        <f>K34+N34+O34+P34+Q34+R34+S34</f>
        <v>1871.1479103157894</v>
      </c>
      <c r="U34" s="28">
        <f t="shared" si="11"/>
        <v>205.82627013473683</v>
      </c>
      <c r="V34" s="28">
        <f t="shared" si="12"/>
        <v>56.134437309473682</v>
      </c>
      <c r="W34" s="28">
        <f t="shared" si="12"/>
        <v>56.134437309473682</v>
      </c>
      <c r="X34" s="28">
        <f t="shared" si="13"/>
        <v>37.422958206315791</v>
      </c>
      <c r="Y34" s="28">
        <f t="shared" si="14"/>
        <v>84.201655964210516</v>
      </c>
      <c r="Z34" s="28">
        <f t="shared" si="15"/>
        <v>439.71975892421051</v>
      </c>
      <c r="AA34" s="79">
        <f t="shared" si="16"/>
        <v>1431.4281513915789</v>
      </c>
      <c r="AB34" s="79">
        <f>IF(D34&gt;38,'DATOS REFERENCIALES'!$D$10,'DATOS REFERENCIALES'!$E$10*D34)</f>
        <v>0</v>
      </c>
      <c r="AC34" s="585">
        <f>IF(C34&lt;12,IF(D34&gt;'DATOS REFERENCIALES'!$J$17,'DATOS REFERENCIALES'!$D$17,('DATOS REFERENCIALES'!$E$17*D34)),0)</f>
        <v>873.52631578947364</v>
      </c>
      <c r="AD34" s="79">
        <f>IF(D34&gt;41,IF((('DATOS REFERENCIALES'!$D$9)-((T34)-Z34+(AB34)+(AC34)))&lt;0,0,((('DATOS REFERENCIALES'!$D$9)-((T34)-(Z34)+(AB34)+(AC34))))),IF((('DATOS REFERENCIALES'!$E$9*D34)-(((T34)-Z34+(AB34)+(AC34))))&lt;0,0,('DATOS REFERENCIALES'!$E$9*D34)-((T34)-(Z34)+(AB34)+(AC34))))</f>
        <v>872.79553281894732</v>
      </c>
      <c r="AE34" s="79">
        <f t="shared" si="17"/>
        <v>3177.75</v>
      </c>
      <c r="AF34" s="91">
        <f>IF(D34&gt;30,'DATOS REFERENCIALES'!$D$13,('DATOS REFERENCIALES'!$E$13*D34))</f>
        <v>342.73333333333335</v>
      </c>
      <c r="AG34" s="239"/>
      <c r="AH34" s="154"/>
      <c r="AI34" s="593">
        <f>IF(D34&gt;'DATOS REFERENCIALES'!$J$16,'DATOS REFERENCIALES'!$D$16,'DATOS REFERENCIALES'!$E$16*D34)</f>
        <v>150</v>
      </c>
      <c r="AJ34" s="154">
        <f>IF(D34&gt;'DATOS REFERENCIALES'!$J$12,'DATOS REFERENCIALES'!$D$12,'DATOS REFERENCIALES'!$E$12*D34)</f>
        <v>446.6</v>
      </c>
      <c r="AK34" s="79">
        <f>+AE34+AF34+AI34+AJ34</f>
        <v>4117.0833333333339</v>
      </c>
      <c r="AL34" s="17"/>
    </row>
    <row r="35" spans="1:40" s="1" customFormat="1" ht="15" x14ac:dyDescent="0.25">
      <c r="A35" s="42"/>
      <c r="B35" s="95"/>
      <c r="C35" s="43"/>
      <c r="D35" s="43"/>
      <c r="E35" s="43"/>
      <c r="F35" s="43"/>
      <c r="G35" s="66"/>
      <c r="H35" s="43"/>
      <c r="I35" s="43"/>
      <c r="J35" s="43"/>
      <c r="K35" s="40"/>
      <c r="L35" s="40"/>
      <c r="M35" s="40"/>
      <c r="N35" s="41"/>
      <c r="O35" s="72"/>
      <c r="P35" s="40"/>
      <c r="Q35" s="41"/>
      <c r="R35" s="72"/>
      <c r="S35" s="72"/>
      <c r="T35" s="72"/>
      <c r="U35" s="72"/>
      <c r="V35" s="72"/>
      <c r="W35" s="72"/>
      <c r="X35" s="72"/>
      <c r="Y35" s="72"/>
      <c r="Z35" s="72"/>
      <c r="AA35" s="44"/>
      <c r="AB35" s="45"/>
      <c r="AC35" s="45"/>
      <c r="AD35" s="44"/>
      <c r="AE35" s="44"/>
      <c r="AF35" s="46"/>
      <c r="AG35" s="46"/>
      <c r="AH35" s="67"/>
      <c r="AI35" s="67"/>
      <c r="AJ35" s="67"/>
      <c r="AK35" s="44"/>
      <c r="AL35" s="17"/>
    </row>
    <row r="36" spans="1:40" s="1" customFormat="1" ht="15.6" thickBot="1" x14ac:dyDescent="0.3">
      <c r="A36" s="42"/>
      <c r="B36" s="95"/>
      <c r="C36" s="43"/>
      <c r="D36" s="43"/>
      <c r="E36" s="43"/>
      <c r="F36" s="43"/>
      <c r="G36" s="66"/>
      <c r="H36" s="43"/>
      <c r="I36" s="43"/>
      <c r="J36" s="43"/>
      <c r="K36" s="40"/>
      <c r="L36" s="40"/>
      <c r="M36" s="40"/>
      <c r="N36" s="41"/>
      <c r="O36" s="72"/>
      <c r="P36" s="40"/>
      <c r="Q36" s="41"/>
      <c r="R36" s="72"/>
      <c r="S36" s="72"/>
      <c r="T36" s="72"/>
      <c r="U36" s="72"/>
      <c r="V36" s="72"/>
      <c r="W36" s="72"/>
      <c r="X36" s="72"/>
      <c r="Y36" s="72"/>
      <c r="Z36" s="72"/>
      <c r="AA36" s="44"/>
      <c r="AB36" s="45"/>
      <c r="AC36" s="45"/>
      <c r="AD36" s="44"/>
      <c r="AE36" s="44"/>
      <c r="AF36" s="46"/>
      <c r="AG36" s="46"/>
      <c r="AH36" s="67"/>
      <c r="AI36" s="67"/>
      <c r="AJ36" s="67"/>
      <c r="AK36" s="44"/>
      <c r="AL36" s="17"/>
    </row>
    <row r="37" spans="1:40" s="1" customFormat="1" ht="21" thickBot="1" x14ac:dyDescent="0.4">
      <c r="A37" s="93" t="s">
        <v>128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3" t="s">
        <v>128</v>
      </c>
      <c r="AG37" s="94"/>
      <c r="AH37" s="94"/>
      <c r="AI37" s="94"/>
      <c r="AJ37" s="94"/>
      <c r="AK37" s="94"/>
      <c r="AL37" s="17"/>
    </row>
    <row r="38" spans="1:40" s="2" customFormat="1" ht="33" customHeight="1" thickBot="1" x14ac:dyDescent="0.3">
      <c r="A38" s="769" t="s">
        <v>1</v>
      </c>
      <c r="B38" s="769" t="s">
        <v>0</v>
      </c>
      <c r="C38" s="732" t="s">
        <v>77</v>
      </c>
      <c r="D38" s="732" t="s">
        <v>117</v>
      </c>
      <c r="E38" s="732" t="s">
        <v>110</v>
      </c>
      <c r="F38" s="732" t="s">
        <v>111</v>
      </c>
      <c r="G38" s="732" t="s">
        <v>102</v>
      </c>
      <c r="H38" s="732" t="s">
        <v>79</v>
      </c>
      <c r="I38" s="732" t="s">
        <v>143</v>
      </c>
      <c r="J38" s="726" t="s">
        <v>142</v>
      </c>
      <c r="K38" s="726" t="s">
        <v>119</v>
      </c>
      <c r="L38" s="726" t="s">
        <v>141</v>
      </c>
      <c r="M38" s="726" t="s">
        <v>142</v>
      </c>
      <c r="N38" s="734" t="s">
        <v>85</v>
      </c>
      <c r="O38" s="734" t="s">
        <v>118</v>
      </c>
      <c r="P38" s="736" t="s">
        <v>86</v>
      </c>
      <c r="Q38" s="734" t="s">
        <v>101</v>
      </c>
      <c r="R38" s="734" t="s">
        <v>84</v>
      </c>
      <c r="S38" s="732" t="s">
        <v>191</v>
      </c>
      <c r="T38" s="734" t="s">
        <v>69</v>
      </c>
      <c r="U38" s="780" t="s">
        <v>59</v>
      </c>
      <c r="V38" s="781"/>
      <c r="W38" s="781"/>
      <c r="X38" s="781"/>
      <c r="Y38" s="782"/>
      <c r="Z38" s="757" t="s">
        <v>68</v>
      </c>
      <c r="AA38" s="732" t="s">
        <v>89</v>
      </c>
      <c r="AB38" s="732" t="s">
        <v>88</v>
      </c>
      <c r="AC38" s="736" t="s">
        <v>199</v>
      </c>
      <c r="AD38" s="732" t="s">
        <v>87</v>
      </c>
      <c r="AE38" s="732" t="s">
        <v>91</v>
      </c>
      <c r="AF38" s="732" t="s">
        <v>90</v>
      </c>
      <c r="AG38" s="732" t="s">
        <v>169</v>
      </c>
      <c r="AH38" s="732" t="s">
        <v>182</v>
      </c>
      <c r="AI38" s="736" t="s">
        <v>197</v>
      </c>
      <c r="AJ38" s="736" t="s">
        <v>195</v>
      </c>
      <c r="AK38" s="732" t="s">
        <v>92</v>
      </c>
      <c r="AL38" s="17"/>
    </row>
    <row r="39" spans="1:40" s="2" customFormat="1" ht="89.25" customHeight="1" thickBot="1" x14ac:dyDescent="0.3">
      <c r="A39" s="770"/>
      <c r="B39" s="770"/>
      <c r="C39" s="733"/>
      <c r="D39" s="733"/>
      <c r="E39" s="733"/>
      <c r="F39" s="733"/>
      <c r="G39" s="733"/>
      <c r="H39" s="733"/>
      <c r="I39" s="733"/>
      <c r="J39" s="727"/>
      <c r="K39" s="727"/>
      <c r="L39" s="727"/>
      <c r="M39" s="727"/>
      <c r="N39" s="735"/>
      <c r="O39" s="735"/>
      <c r="P39" s="737"/>
      <c r="Q39" s="735"/>
      <c r="R39" s="735"/>
      <c r="S39" s="733"/>
      <c r="T39" s="735"/>
      <c r="U39" s="76" t="s">
        <v>138</v>
      </c>
      <c r="V39" s="102" t="s">
        <v>61</v>
      </c>
      <c r="W39" s="102" t="s">
        <v>62</v>
      </c>
      <c r="X39" s="102" t="s">
        <v>63</v>
      </c>
      <c r="Y39" s="102" t="s">
        <v>64</v>
      </c>
      <c r="Z39" s="779"/>
      <c r="AA39" s="733"/>
      <c r="AB39" s="733"/>
      <c r="AC39" s="758"/>
      <c r="AD39" s="733"/>
      <c r="AE39" s="733"/>
      <c r="AF39" s="733"/>
      <c r="AG39" s="733"/>
      <c r="AH39" s="733"/>
      <c r="AI39" s="737"/>
      <c r="AJ39" s="737"/>
      <c r="AK39" s="733"/>
      <c r="AL39" s="17"/>
    </row>
    <row r="40" spans="1:40" s="1" customFormat="1" ht="21.75" customHeight="1" x14ac:dyDescent="0.25">
      <c r="A40" s="395">
        <v>578</v>
      </c>
      <c r="B40" s="373" t="s">
        <v>5</v>
      </c>
      <c r="C40" s="305">
        <v>0</v>
      </c>
      <c r="D40" s="305"/>
      <c r="E40" s="306"/>
      <c r="F40" s="307"/>
      <c r="G40" s="308">
        <v>1187</v>
      </c>
      <c r="H40" s="305">
        <f>SUM(G40:G40)</f>
        <v>1187</v>
      </c>
      <c r="I40" s="521"/>
      <c r="J40" s="305"/>
      <c r="K40" s="310">
        <f>H40*'DATOS REFERENCIALES'!$C$4</f>
        <v>22544.085630000001</v>
      </c>
      <c r="L40" s="310"/>
      <c r="M40" s="310"/>
      <c r="N40" s="312">
        <f>LOOKUP(C40,'TABLA ANTIG.'!$A$4:$A$39,'TABLA ANTIG.'!$B$4:$B$39)*(K40)</f>
        <v>0</v>
      </c>
      <c r="O40" s="312">
        <f>K40*0.1</f>
        <v>2254.4085630000004</v>
      </c>
      <c r="P40" s="310">
        <f>IF(H40&gt;1134,'DATOS REFERENCIALES'!$C$8,IF(('DATOS REFERENCIALES'!$C$8/1135*H40)&lt;'DATOS REFERENCIALES'!$F$8,'DATOS REFERENCIALES'!$F$8))</f>
        <v>13323</v>
      </c>
      <c r="Q40" s="312">
        <f>LOOKUP(C40,'TABLA ANTIG.'!$A$4:$A$39,'TABLA ANTIG.'!$B$4:$B$39)*(P40)</f>
        <v>0</v>
      </c>
      <c r="R40" s="311">
        <v>0</v>
      </c>
      <c r="S40" s="312">
        <f>IF(C40&gt;11,IF(H40&gt;1134,'DATOS REFERENCIALES'!$C$18,IF(('DATOS REFERENCIALES'!$C$18/1135*H40)&lt;'DATOS REFERENCIALES'!$F$18,'DATOS REFERENCIALES'!$F$18,'DATOS REFERENCIALES'!$C$18/1135*H40)),0)</f>
        <v>0</v>
      </c>
      <c r="T40" s="312">
        <f>K40+N40+O40+P40+Q40+R40+S40</f>
        <v>38121.494193000006</v>
      </c>
      <c r="U40" s="316">
        <f t="shared" ref="U40:U45" si="18">$T40*11%</f>
        <v>4193.3643612300011</v>
      </c>
      <c r="V40" s="312">
        <f t="shared" ref="V40:W45" si="19">$T40*3%</f>
        <v>1143.6448257900001</v>
      </c>
      <c r="W40" s="312">
        <f t="shared" si="19"/>
        <v>1143.6448257900001</v>
      </c>
      <c r="X40" s="312">
        <f t="shared" ref="X40:X45" si="20">$T40*2%</f>
        <v>762.42988386000013</v>
      </c>
      <c r="Y40" s="312">
        <f t="shared" ref="Y40:Y45" si="21">$T40*4.5%</f>
        <v>1715.4672386850002</v>
      </c>
      <c r="Z40" s="312">
        <f t="shared" ref="Z40:Z45" si="22">SUM(U40:Y40)</f>
        <v>8958.551135355001</v>
      </c>
      <c r="AA40" s="312">
        <f t="shared" ref="AA40:AA45" si="23">T40-Z40</f>
        <v>29162.943057645003</v>
      </c>
      <c r="AB40" s="312">
        <f>'DATOS REFERENCIALES'!$C$10</f>
        <v>0</v>
      </c>
      <c r="AC40" s="539">
        <f>IF(C40&lt;12,IF(H40&gt;1134,'DATOS REFERENCIALES'!$C$17,IF(('DATOS REFERENCIALES'!$C$17/1135*H40)&lt;'DATOS REFERENCIALES'!$F$17,'DATOS REFERENCIALES'!$F$17,('DATOS REFERENCIALES'!$C$17/1135*H40))),0)</f>
        <v>16597</v>
      </c>
      <c r="AD40" s="389">
        <f>IF((IF(H40&gt;1134,('DATOS REFERENCIALES'!$C$9-(T40-U40-V40-W40-X40-Y40+AB40+AC40-L40-L40*0.235)),(('DATOS REFERENCIALES'!$C$9/1135)*H40)-(K40+N40+O40+P40+Q40+S40-U40-V40-W40-X40-Y40+AB40+AC40-(L40-L40*0.235))))&lt;0,0,IF(H40&gt;1134,(('DATOS REFERENCIALES'!$C$9)-(T40-U40-V40-W40-X40-Y40+AB40+AC40-(L40-L40*0.235))),(('DATOS REFERENCIALES'!$C$9/1135)*H40)-(K40+N40+O40+P40+Q40+S40-U40-V40-W40-X40-Y40+AB40+AC40-(L40-L40*0.235))))</f>
        <v>17795.05694235499</v>
      </c>
      <c r="AE40" s="312">
        <f t="shared" ref="AE40:AE45" si="24">SUM(AA40:AD40)</f>
        <v>63554.999999999993</v>
      </c>
      <c r="AF40" s="317">
        <f>'DATOS REFERENCIALES'!$C$13</f>
        <v>5141</v>
      </c>
      <c r="AG40" s="338"/>
      <c r="AH40" s="316"/>
      <c r="AI40" s="317">
        <f>'DATOS REFERENCIALES'!$C$16</f>
        <v>2250</v>
      </c>
      <c r="AJ40" s="315">
        <f>'DATOS REFERENCIALES'!$C$12</f>
        <v>6699</v>
      </c>
      <c r="AK40" s="763">
        <f>+AE40+AE41+AF40+AI40+AJ40</f>
        <v>81628.878092105442</v>
      </c>
      <c r="AL40" s="17"/>
    </row>
    <row r="41" spans="1:40" s="1" customFormat="1" ht="24" customHeight="1" thickBot="1" x14ac:dyDescent="0.3">
      <c r="A41" s="396">
        <v>578</v>
      </c>
      <c r="B41" s="375" t="s">
        <v>5</v>
      </c>
      <c r="C41" s="320">
        <f>IF(C40&gt;0,C40,0)</f>
        <v>0</v>
      </c>
      <c r="D41" s="320"/>
      <c r="E41" s="321"/>
      <c r="F41" s="322"/>
      <c r="G41" s="323"/>
      <c r="H41" s="320"/>
      <c r="I41" s="534">
        <f>H40*'DATOS REFERENCIALES'!$K$4/100</f>
        <v>178.05</v>
      </c>
      <c r="J41" s="397">
        <v>0.06</v>
      </c>
      <c r="K41" s="325"/>
      <c r="L41" s="325">
        <f>I41*'DATOS REFERENCIALES'!$C$4</f>
        <v>3381.6128445000004</v>
      </c>
      <c r="M41" s="325">
        <f>K40*J41</f>
        <v>1352.6451377999999</v>
      </c>
      <c r="N41" s="327">
        <f>LOOKUP(C41,'TABLA ANTIG.'!$A$4:$A$39,'TABLA ANTIG.'!$B$4:$B$39)*(L41+M41)</f>
        <v>0</v>
      </c>
      <c r="O41" s="327">
        <f>(L41+M41)*0.1</f>
        <v>473.42579823000005</v>
      </c>
      <c r="P41" s="325"/>
      <c r="Q41" s="327"/>
      <c r="R41" s="326"/>
      <c r="S41" s="327"/>
      <c r="T41" s="327">
        <f>L41+M41+N41+O41+P41+Q41+R41</f>
        <v>5207.6837805300001</v>
      </c>
      <c r="U41" s="326">
        <f t="shared" si="18"/>
        <v>572.84521585829998</v>
      </c>
      <c r="V41" s="327">
        <f t="shared" si="19"/>
        <v>156.23051341589999</v>
      </c>
      <c r="W41" s="330">
        <f t="shared" si="19"/>
        <v>156.23051341589999</v>
      </c>
      <c r="X41" s="327">
        <f t="shared" si="20"/>
        <v>104.1536756106</v>
      </c>
      <c r="Y41" s="327">
        <f t="shared" si="21"/>
        <v>234.34577012385</v>
      </c>
      <c r="Z41" s="327">
        <f t="shared" si="22"/>
        <v>1223.8056884245498</v>
      </c>
      <c r="AA41" s="331">
        <f t="shared" si="23"/>
        <v>3983.8780921054504</v>
      </c>
      <c r="AB41" s="327"/>
      <c r="AC41" s="327"/>
      <c r="AD41" s="327"/>
      <c r="AE41" s="326">
        <f t="shared" si="24"/>
        <v>3983.8780921054504</v>
      </c>
      <c r="AF41" s="332"/>
      <c r="AG41" s="344"/>
      <c r="AH41" s="326"/>
      <c r="AI41" s="326"/>
      <c r="AJ41" s="327"/>
      <c r="AK41" s="764"/>
      <c r="AL41" s="17"/>
    </row>
    <row r="42" spans="1:40" s="1" customFormat="1" ht="22.5" customHeight="1" x14ac:dyDescent="0.25">
      <c r="A42" s="398">
        <v>854</v>
      </c>
      <c r="B42" s="244" t="s">
        <v>4</v>
      </c>
      <c r="C42" s="245">
        <v>0</v>
      </c>
      <c r="D42" s="245"/>
      <c r="E42" s="293"/>
      <c r="F42" s="294"/>
      <c r="G42" s="295">
        <v>960</v>
      </c>
      <c r="H42" s="245">
        <f>SUM(G42:G42)</f>
        <v>960</v>
      </c>
      <c r="I42" s="523"/>
      <c r="J42" s="245"/>
      <c r="K42" s="247">
        <f>H42*'DATOS REFERENCIALES'!$C$4</f>
        <v>18232.790400000002</v>
      </c>
      <c r="L42" s="247"/>
      <c r="M42" s="247"/>
      <c r="N42" s="249">
        <f>LOOKUP(C42,'TABLA ANTIG.'!$A$4:$A$39,'TABLA ANTIG.'!$B$4:$B$39)*(K42)</f>
        <v>0</v>
      </c>
      <c r="O42" s="249">
        <f>K42*0.1</f>
        <v>1823.2790400000004</v>
      </c>
      <c r="P42" s="577">
        <f>IF(H42&gt;1134,'DATOS REFERENCIALES'!$C$8,IF(('DATOS REFERENCIALES'!$C$8/1135*H42)&lt;'DATOS REFERENCIALES'!$F$8,'DATOS REFERENCIALES'!$F$8))</f>
        <v>12239</v>
      </c>
      <c r="Q42" s="249">
        <f>LOOKUP(C42,'TABLA ANTIG.'!$A$4:$A$39,'TABLA ANTIG.'!$B$4:$B$39)*(P42)</f>
        <v>0</v>
      </c>
      <c r="R42" s="253">
        <v>0</v>
      </c>
      <c r="S42" s="249">
        <f>IF(C42&gt;11,IF(H42&gt;1134,'DATOS REFERENCIALES'!$C$18,IF(('DATOS REFERENCIALES'!$C$18/1135*H42)&lt;'DATOS REFERENCIALES'!$F$18,'DATOS REFERENCIALES'!$F$18,'DATOS REFERENCIALES'!$C$18/1135*H42)),0)</f>
        <v>0</v>
      </c>
      <c r="T42" s="249">
        <f>K42+N42+O42+P42+Q42+R42+S42</f>
        <v>32295.069440000003</v>
      </c>
      <c r="U42" s="251">
        <f t="shared" si="18"/>
        <v>3552.4576384000002</v>
      </c>
      <c r="V42" s="249">
        <f t="shared" si="19"/>
        <v>968.85208320000004</v>
      </c>
      <c r="W42" s="249">
        <f t="shared" si="19"/>
        <v>968.85208320000004</v>
      </c>
      <c r="X42" s="249">
        <f t="shared" si="20"/>
        <v>645.90138880000006</v>
      </c>
      <c r="Y42" s="249">
        <f t="shared" si="21"/>
        <v>1453.2781248000001</v>
      </c>
      <c r="Z42" s="249">
        <f t="shared" si="22"/>
        <v>7589.341318400001</v>
      </c>
      <c r="AA42" s="249">
        <f t="shared" si="23"/>
        <v>24705.728121600001</v>
      </c>
      <c r="AB42" s="249">
        <f>'DATOS REFERENCIALES'!$C$10</f>
        <v>0</v>
      </c>
      <c r="AC42" s="382">
        <f>IF(C42&lt;12,IF(H42&gt;1134,'DATOS REFERENCIALES'!$C$17,IF(('DATOS REFERENCIALES'!$C$17/1135*H42)&lt;'DATOS REFERENCIALES'!$F$17,'DATOS REFERENCIALES'!$F$17,('DATOS REFERENCIALES'!$C$17/1135*H42))),0)</f>
        <v>15925</v>
      </c>
      <c r="AD42" s="382">
        <f>IF((IF(H42&gt;1134,('DATOS REFERENCIALES'!$C$9-(T42-U42-V42-W42-X42-Y42+AB42+AC42-L42-L42*0.235)),(('DATOS REFERENCIALES'!$C$9/1135)*H42)-(K42+N42+O42+P42+Q42+S42-U42-V42-W42-X42-Y42+AB42+AC42-(L42-L42*0.235))))&lt;0,0,IF(H42&gt;1134,(('DATOS REFERENCIALES'!$C$9)-(T42-U42-V42-W42-X42-Y42+AB42+AC42-(L42-L42*0.235))),(('DATOS REFERENCIALES'!$C$9/1135)*H42)-(K42+N42+O42+P42+Q42+S42-U42-V42-W42-X42-Y42+AB42+AC42-(L42-L42*0.235))))</f>
        <v>13125.042803510129</v>
      </c>
      <c r="AE42" s="249">
        <f t="shared" si="24"/>
        <v>53755.770925110126</v>
      </c>
      <c r="AF42" s="254">
        <f>'DATOS REFERENCIALES'!$C$13</f>
        <v>5141</v>
      </c>
      <c r="AG42" s="366"/>
      <c r="AH42" s="251"/>
      <c r="AI42" s="254">
        <f>'DATOS REFERENCIALES'!$C$16</f>
        <v>2250</v>
      </c>
      <c r="AJ42" s="252">
        <f>'DATOS REFERENCIALES'!$C$12</f>
        <v>6699</v>
      </c>
      <c r="AK42" s="765">
        <f>+AE42+AE43+AF42+AI42+AJ42</f>
        <v>70147.204893350136</v>
      </c>
      <c r="AL42" s="17"/>
    </row>
    <row r="43" spans="1:40" s="1" customFormat="1" ht="22.5" customHeight="1" thickBot="1" x14ac:dyDescent="0.3">
      <c r="A43" s="399">
        <v>854</v>
      </c>
      <c r="B43" s="384" t="s">
        <v>4</v>
      </c>
      <c r="C43" s="257">
        <f>IF(C42&gt;0,C42,0)</f>
        <v>0</v>
      </c>
      <c r="D43" s="296"/>
      <c r="E43" s="297"/>
      <c r="F43" s="298"/>
      <c r="G43" s="299"/>
      <c r="H43" s="296"/>
      <c r="I43" s="529">
        <f>H42*'DATOS REFERENCIALES'!$K$4/100</f>
        <v>144</v>
      </c>
      <c r="J43" s="386"/>
      <c r="K43" s="300"/>
      <c r="L43" s="300">
        <f>I43*'DATOS REFERENCIALES'!$C$4</f>
        <v>2734.9185600000001</v>
      </c>
      <c r="M43" s="300"/>
      <c r="N43" s="268">
        <f>LOOKUP(C43,'TABLA ANTIG.'!$A$4:$A$39,'TABLA ANTIG.'!$B$4:$B$39)*(L43+M43)</f>
        <v>0</v>
      </c>
      <c r="O43" s="268">
        <f>(L43+M43)*0.1</f>
        <v>273.49185600000004</v>
      </c>
      <c r="P43" s="300"/>
      <c r="Q43" s="268"/>
      <c r="R43" s="266"/>
      <c r="S43" s="301"/>
      <c r="T43" s="268">
        <f>L43+M43+N43+O43+P43+Q43+R43</f>
        <v>3008.4104160000002</v>
      </c>
      <c r="U43" s="266">
        <f t="shared" si="18"/>
        <v>330.92514576000002</v>
      </c>
      <c r="V43" s="268">
        <f t="shared" si="19"/>
        <v>90.252312480000001</v>
      </c>
      <c r="W43" s="301">
        <f t="shared" si="19"/>
        <v>90.252312480000001</v>
      </c>
      <c r="X43" s="268">
        <f t="shared" si="20"/>
        <v>60.168208320000005</v>
      </c>
      <c r="Y43" s="268">
        <f t="shared" si="21"/>
        <v>135.37846872</v>
      </c>
      <c r="Z43" s="268">
        <f t="shared" si="22"/>
        <v>706.97644776000004</v>
      </c>
      <c r="AA43" s="302">
        <f t="shared" si="23"/>
        <v>2301.43396824</v>
      </c>
      <c r="AB43" s="268"/>
      <c r="AC43" s="268"/>
      <c r="AD43" s="268"/>
      <c r="AE43" s="266">
        <f t="shared" si="24"/>
        <v>2301.43396824</v>
      </c>
      <c r="AF43" s="481"/>
      <c r="AG43" s="400"/>
      <c r="AH43" s="266"/>
      <c r="AI43" s="266"/>
      <c r="AJ43" s="268"/>
      <c r="AK43" s="766"/>
      <c r="AL43" s="17"/>
    </row>
    <row r="44" spans="1:40" s="1" customFormat="1" ht="22.5" customHeight="1" x14ac:dyDescent="0.25">
      <c r="A44" s="210">
        <v>577</v>
      </c>
      <c r="B44" s="157" t="s">
        <v>10</v>
      </c>
      <c r="C44" s="117">
        <v>0</v>
      </c>
      <c r="D44" s="184">
        <v>0</v>
      </c>
      <c r="E44" s="211"/>
      <c r="F44" s="184"/>
      <c r="G44" s="207">
        <v>829.75</v>
      </c>
      <c r="H44" s="184">
        <f>SUM(G44:G44)</f>
        <v>829.75</v>
      </c>
      <c r="I44" s="184"/>
      <c r="J44" s="184"/>
      <c r="K44" s="103">
        <f>H44*'DATOS REFERENCIALES'!$C$4</f>
        <v>15759.018577500001</v>
      </c>
      <c r="L44" s="103"/>
      <c r="M44" s="103"/>
      <c r="N44" s="104">
        <f>LOOKUP(C44,'TABLA ANTIG.'!$A$4:$A$39,'TABLA ANTIG.'!$B$4:$B$39)*(K44)</f>
        <v>0</v>
      </c>
      <c r="O44" s="111">
        <f>K44*0.1</f>
        <v>1575.9018577500001</v>
      </c>
      <c r="P44" s="588">
        <f>IF(H44&gt;1134,'DATOS REFERENCIALES'!$C$8,IF(('DATOS REFERENCIALES'!$C$8/1135*H44)&lt;'DATOS REFERENCIALES'!$F$8,'DATOS REFERENCIALES'!$F$8))</f>
        <v>12239</v>
      </c>
      <c r="Q44" s="104">
        <f>LOOKUP(C44,'TABLA ANTIG.'!$A$4:$A$39,'TABLA ANTIG.'!$B$4:$B$39)*(P44)</f>
        <v>0</v>
      </c>
      <c r="R44" s="212">
        <v>0</v>
      </c>
      <c r="S44" s="77">
        <f>IF(C44&gt;11,IF(H44&gt;1134,'DATOS REFERENCIALES'!$C$18,IF(('DATOS REFERENCIALES'!$C$18/1135*H44)&lt;'DATOS REFERENCIALES'!$F$18,'DATOS REFERENCIALES'!$F$18,'DATOS REFERENCIALES'!$C$18/1135*H44)),0)</f>
        <v>0</v>
      </c>
      <c r="T44" s="111">
        <f>K44+N44+O44+P44+Q44+R44+S44</f>
        <v>29573.920435250002</v>
      </c>
      <c r="U44" s="204">
        <f t="shared" si="18"/>
        <v>3253.1312478775003</v>
      </c>
      <c r="V44" s="111">
        <f t="shared" si="19"/>
        <v>887.21761305749999</v>
      </c>
      <c r="W44" s="111">
        <f t="shared" si="19"/>
        <v>887.21761305749999</v>
      </c>
      <c r="X44" s="111">
        <f t="shared" si="20"/>
        <v>591.47840870500011</v>
      </c>
      <c r="Y44" s="111">
        <f t="shared" si="21"/>
        <v>1330.82641958625</v>
      </c>
      <c r="Z44" s="111">
        <f t="shared" si="22"/>
        <v>6949.871302283751</v>
      </c>
      <c r="AA44" s="104">
        <f t="shared" si="23"/>
        <v>22624.049132966251</v>
      </c>
      <c r="AB44" s="104">
        <f>'DATOS REFERENCIALES'!$C$10</f>
        <v>0</v>
      </c>
      <c r="AC44" s="78">
        <f>IF(C44&lt;12,IF(H44&gt;1134,'DATOS REFERENCIALES'!$C$17,IF(('DATOS REFERENCIALES'!$C$17/1135*H44)&lt;'DATOS REFERENCIALES'!$F$17,'DATOS REFERENCIALES'!$F$17,('DATOS REFERENCIALES'!$C$17/1135*H44))),0)</f>
        <v>15925</v>
      </c>
      <c r="AD44" s="78">
        <f>IF((IF(H44&gt;1134,('DATOS REFERENCIALES'!$C$9-(T44-U44-V44-W44-X44-Y44+AB44+AC44-L44-L44*0.235)),(('DATOS REFERENCIALES'!$C$9/1135)*H44)-(K44+N44+O44+P44+Q44+S44-U44-V44-W44-X44-Y44+AB44+AC44-(L44-L44*0.235))))&lt;0,0,IF(H44&gt;1134,(('DATOS REFERENCIALES'!$C$9)-(T44-U44-V44-W44-X44-Y44+AB44+AC44-(L44-L44*0.235))),(('DATOS REFERENCIALES'!$C$9/1135)*H44)-(K44+N44+O44+P44+Q44+S44-U44-V44-W44-X44-Y44+AB44+AC44-(L44-L44*0.235))))</f>
        <v>7913.29558069013</v>
      </c>
      <c r="AE44" s="104">
        <f t="shared" si="24"/>
        <v>46462.344713656377</v>
      </c>
      <c r="AF44" s="482">
        <f>'DATOS REFERENCIALES'!$C$13</f>
        <v>5141</v>
      </c>
      <c r="AG44" s="238"/>
      <c r="AH44" s="143"/>
      <c r="AI44" s="90">
        <f>'DATOS REFERENCIALES'!$C$16</f>
        <v>2250</v>
      </c>
      <c r="AJ44" s="146">
        <f>'DATOS REFERENCIALES'!$C$12</f>
        <v>6699</v>
      </c>
      <c r="AK44" s="77">
        <f>+AE44+AF44+AI44+AJ44</f>
        <v>60552.344713656377</v>
      </c>
      <c r="AL44" s="17"/>
    </row>
    <row r="45" spans="1:40" s="32" customFormat="1" ht="28.5" customHeight="1" thickBot="1" x14ac:dyDescent="0.3">
      <c r="A45" s="209">
        <v>5568</v>
      </c>
      <c r="B45" s="101" t="s">
        <v>9</v>
      </c>
      <c r="C45" s="56">
        <v>0</v>
      </c>
      <c r="D45" s="24">
        <v>1</v>
      </c>
      <c r="E45" s="200"/>
      <c r="F45" s="56"/>
      <c r="G45" s="202">
        <v>56</v>
      </c>
      <c r="H45" s="56">
        <f>SUM(G45:G45)</f>
        <v>56</v>
      </c>
      <c r="I45" s="56"/>
      <c r="J45" s="56"/>
      <c r="K45" s="89">
        <f>(H45*'DATOS REFERENCIALES'!$C$4)*D45</f>
        <v>1063.57944</v>
      </c>
      <c r="L45" s="89"/>
      <c r="M45" s="89"/>
      <c r="N45" s="79">
        <f>LOOKUP(C45,'TABLA ANTIG.'!$A$4:$A$39,'TABLA ANTIG.'!$B$4:$B$39)*(K45)</f>
        <v>0</v>
      </c>
      <c r="O45" s="28">
        <f>K45*0.1</f>
        <v>106.357944</v>
      </c>
      <c r="P45" s="653">
        <f>IF(D45&gt;38,'DATOS REFERENCIALES'!$D$8,'DATOS REFERENCIALES'!$E$8*D45)</f>
        <v>701.21052631578948</v>
      </c>
      <c r="Q45" s="79">
        <f>LOOKUP(C45,'TABLA ANTIG.'!$A$4:$A$39,'TABLA ANTIG.'!$B$4:$B$39)*(P45)</f>
        <v>0</v>
      </c>
      <c r="R45" s="203">
        <v>0</v>
      </c>
      <c r="S45" s="504">
        <f>IF(C45&gt;11,IF(D45&gt;'DATOS REFERENCIALES'!$J$18,'DATOS REFERENCIALES'!$D$18,'DATOS REFERENCIALES'!$D$18/'DATOS REFERENCIALES'!$J$18*D45),0)</f>
        <v>0</v>
      </c>
      <c r="T45" s="28">
        <f>K45+N45+O45+P45+Q45+R45+S45</f>
        <v>1871.1479103157894</v>
      </c>
      <c r="U45" s="197">
        <f t="shared" si="18"/>
        <v>205.82627013473683</v>
      </c>
      <c r="V45" s="28">
        <f t="shared" si="19"/>
        <v>56.134437309473682</v>
      </c>
      <c r="W45" s="28">
        <f t="shared" si="19"/>
        <v>56.134437309473682</v>
      </c>
      <c r="X45" s="28">
        <f t="shared" si="20"/>
        <v>37.422958206315791</v>
      </c>
      <c r="Y45" s="28">
        <f t="shared" si="21"/>
        <v>84.201655964210516</v>
      </c>
      <c r="Z45" s="28">
        <f t="shared" si="22"/>
        <v>439.71975892421051</v>
      </c>
      <c r="AA45" s="79">
        <f t="shared" si="23"/>
        <v>1431.4281513915789</v>
      </c>
      <c r="AB45" s="79">
        <f>IF(D45&gt;38,'DATOS REFERENCIALES'!$D$10,'DATOS REFERENCIALES'!$E$10*D45)</f>
        <v>0</v>
      </c>
      <c r="AC45" s="585">
        <f>IF(C45&lt;12,IF(D45&gt;'DATOS REFERENCIALES'!$J$17,'DATOS REFERENCIALES'!$D$17,('DATOS REFERENCIALES'!$E$17*D45)),0)</f>
        <v>873.52631578947364</v>
      </c>
      <c r="AD45" s="79">
        <f>IF(D45&gt;41,IF((('DATOS REFERENCIALES'!$D$9)-((T45)-Z45+(AB45)+(AC45)))&lt;0,0,((('DATOS REFERENCIALES'!$D$9)-((T45)-(Z45)+(AB45)+(AC45))))),IF((('DATOS REFERENCIALES'!$E$9*D45)-(((T45)-Z45+(AB45)+(AC45))))&lt;0,0,('DATOS REFERENCIALES'!$E$9*D45)-((T45)-(Z45)+(AB45)+(AC45))))</f>
        <v>872.79553281894732</v>
      </c>
      <c r="AE45" s="79">
        <f t="shared" si="24"/>
        <v>3177.75</v>
      </c>
      <c r="AF45" s="91">
        <f>IF(D45&gt;30,'DATOS REFERENCIALES'!$D$13,('DATOS REFERENCIALES'!$E$13*D45))</f>
        <v>342.73333333333335</v>
      </c>
      <c r="AG45" s="239"/>
      <c r="AH45" s="154"/>
      <c r="AI45" s="593">
        <f>IF(D45&gt;'DATOS REFERENCIALES'!$J$16,'DATOS REFERENCIALES'!$D$16,'DATOS REFERENCIALES'!$E$16*D45)</f>
        <v>150</v>
      </c>
      <c r="AJ45" s="147">
        <f>IF(D45&gt;'DATOS REFERENCIALES'!$J$12,'DATOS REFERENCIALES'!$D$12,'DATOS REFERENCIALES'!$E$12*D45)</f>
        <v>446.6</v>
      </c>
      <c r="AK45" s="79">
        <f>+AE45+AF45+AI45+AJ45</f>
        <v>4117.0833333333339</v>
      </c>
      <c r="AL45" s="31"/>
    </row>
  </sheetData>
  <mergeCells count="111">
    <mergeCell ref="AC24:AC25"/>
    <mergeCell ref="AC9:AC10"/>
    <mergeCell ref="AC38:AC39"/>
    <mergeCell ref="AI9:AI10"/>
    <mergeCell ref="AI24:AI25"/>
    <mergeCell ref="AI38:AI39"/>
    <mergeCell ref="AK9:AK10"/>
    <mergeCell ref="AD24:AD25"/>
    <mergeCell ref="AD9:AD10"/>
    <mergeCell ref="AF9:AF10"/>
    <mergeCell ref="AH38:AH39"/>
    <mergeCell ref="AE9:AE10"/>
    <mergeCell ref="AF38:AF39"/>
    <mergeCell ref="AE24:AE25"/>
    <mergeCell ref="AE38:AE39"/>
    <mergeCell ref="AJ9:AJ10"/>
    <mergeCell ref="AJ24:AJ25"/>
    <mergeCell ref="AJ38:AJ39"/>
    <mergeCell ref="AH9:AH10"/>
    <mergeCell ref="AH24:AH25"/>
    <mergeCell ref="AG9:AG10"/>
    <mergeCell ref="AG24:AG25"/>
    <mergeCell ref="AG38:AG39"/>
    <mergeCell ref="AF24:AF25"/>
    <mergeCell ref="S9:S10"/>
    <mergeCell ref="S24:S25"/>
    <mergeCell ref="S38:S39"/>
    <mergeCell ref="Z9:Z10"/>
    <mergeCell ref="AB24:AB25"/>
    <mergeCell ref="AA24:AA25"/>
    <mergeCell ref="AB9:AB10"/>
    <mergeCell ref="AA9:AA10"/>
    <mergeCell ref="U9:Y9"/>
    <mergeCell ref="U24:Y24"/>
    <mergeCell ref="T9:T10"/>
    <mergeCell ref="T38:T39"/>
    <mergeCell ref="AA38:AA39"/>
    <mergeCell ref="T24:T25"/>
    <mergeCell ref="Z38:Z39"/>
    <mergeCell ref="U38:Y38"/>
    <mergeCell ref="AB38:AB39"/>
    <mergeCell ref="Z24:Z25"/>
    <mergeCell ref="O9:O10"/>
    <mergeCell ref="C9:C10"/>
    <mergeCell ref="H24:H25"/>
    <mergeCell ref="O24:O25"/>
    <mergeCell ref="Q24:Q25"/>
    <mergeCell ref="Q9:Q10"/>
    <mergeCell ref="G9:G10"/>
    <mergeCell ref="D24:D25"/>
    <mergeCell ref="E24:E25"/>
    <mergeCell ref="C24:C25"/>
    <mergeCell ref="I9:I10"/>
    <mergeCell ref="J9:J10"/>
    <mergeCell ref="H9:H10"/>
    <mergeCell ref="N9:N10"/>
    <mergeCell ref="K9:K10"/>
    <mergeCell ref="N24:N25"/>
    <mergeCell ref="I24:I25"/>
    <mergeCell ref="J24:J25"/>
    <mergeCell ref="M9:M10"/>
    <mergeCell ref="E9:E10"/>
    <mergeCell ref="F9:F10"/>
    <mergeCell ref="B24:B25"/>
    <mergeCell ref="AK40:AK41"/>
    <mergeCell ref="E38:E39"/>
    <mergeCell ref="F38:F39"/>
    <mergeCell ref="O38:O39"/>
    <mergeCell ref="AD38:AD39"/>
    <mergeCell ref="AK42:AK43"/>
    <mergeCell ref="AK11:AK12"/>
    <mergeCell ref="AK13:AK14"/>
    <mergeCell ref="AK15:AK16"/>
    <mergeCell ref="AK26:AK27"/>
    <mergeCell ref="AK28:AK29"/>
    <mergeCell ref="AK38:AK39"/>
    <mergeCell ref="AK30:AK31"/>
    <mergeCell ref="P38:P39"/>
    <mergeCell ref="R38:R39"/>
    <mergeCell ref="G38:G39"/>
    <mergeCell ref="H38:H39"/>
    <mergeCell ref="K24:K25"/>
    <mergeCell ref="K38:K39"/>
    <mergeCell ref="G24:G25"/>
    <mergeCell ref="R24:R25"/>
    <mergeCell ref="L24:L25"/>
    <mergeCell ref="M24:M25"/>
    <mergeCell ref="K3:AA5"/>
    <mergeCell ref="A6:AK6"/>
    <mergeCell ref="A7:AK7"/>
    <mergeCell ref="A9:A10"/>
    <mergeCell ref="B9:B10"/>
    <mergeCell ref="Q38:Q39"/>
    <mergeCell ref="I38:I39"/>
    <mergeCell ref="J38:J39"/>
    <mergeCell ref="L38:L39"/>
    <mergeCell ref="M38:M39"/>
    <mergeCell ref="A38:A39"/>
    <mergeCell ref="A24:A25"/>
    <mergeCell ref="B38:B39"/>
    <mergeCell ref="C38:C39"/>
    <mergeCell ref="N38:N39"/>
    <mergeCell ref="D38:D39"/>
    <mergeCell ref="AE8:AK8"/>
    <mergeCell ref="D9:D10"/>
    <mergeCell ref="L9:L10"/>
    <mergeCell ref="P24:P25"/>
    <mergeCell ref="F24:F25"/>
    <mergeCell ref="AK24:AK25"/>
    <mergeCell ref="P9:P10"/>
    <mergeCell ref="R9:R10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'DATOS REFERENCIALES'!$C$31:$C$38</xm:f>
          </x14:formula1>
          <xm:sqref>J27 J12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43"/>
  <sheetViews>
    <sheetView zoomScale="70" zoomScaleNormal="70" workbookViewId="0">
      <selection activeCell="A7" sqref="A7:AK7"/>
    </sheetView>
  </sheetViews>
  <sheetFormatPr baseColWidth="10" defaultRowHeight="13.2" x14ac:dyDescent="0.25"/>
  <cols>
    <col min="1" max="1" width="11.5546875" bestFit="1" customWidth="1"/>
    <col min="2" max="2" width="48.88671875" customWidth="1"/>
    <col min="3" max="3" width="11.5546875" bestFit="1" customWidth="1"/>
    <col min="5" max="5" width="13" hidden="1" customWidth="1"/>
    <col min="6" max="6" width="0" hidden="1" customWidth="1"/>
    <col min="7" max="7" width="11.5546875" hidden="1" customWidth="1"/>
    <col min="8" max="8" width="11.5546875" bestFit="1" customWidth="1"/>
    <col min="9" max="9" width="14" customWidth="1"/>
    <col min="10" max="10" width="16.88671875" customWidth="1"/>
    <col min="11" max="11" width="14.88671875" bestFit="1" customWidth="1"/>
    <col min="12" max="12" width="15.5546875" customWidth="1"/>
    <col min="13" max="13" width="14.88671875" customWidth="1"/>
    <col min="14" max="14" width="18" customWidth="1"/>
    <col min="15" max="15" width="18.44140625" customWidth="1"/>
    <col min="16" max="16" width="16" customWidth="1"/>
    <col min="17" max="17" width="16.5546875" customWidth="1"/>
    <col min="18" max="18" width="15" customWidth="1"/>
    <col min="19" max="19" width="14" customWidth="1"/>
    <col min="20" max="20" width="15.5546875" customWidth="1"/>
    <col min="21" max="21" width="14.77734375" customWidth="1"/>
    <col min="22" max="22" width="13.5546875" customWidth="1"/>
    <col min="23" max="23" width="13.33203125" customWidth="1"/>
    <col min="24" max="24" width="14.109375" customWidth="1"/>
    <col min="25" max="25" width="13.44140625" customWidth="1"/>
    <col min="26" max="26" width="14.88671875" customWidth="1"/>
    <col min="27" max="27" width="15" customWidth="1"/>
    <col min="28" max="28" width="14.109375" hidden="1" customWidth="1"/>
    <col min="29" max="29" width="15.33203125" customWidth="1"/>
    <col min="30" max="30" width="14.6640625" customWidth="1"/>
    <col min="31" max="31" width="15.88671875" customWidth="1"/>
    <col min="32" max="32" width="15" customWidth="1"/>
    <col min="33" max="33" width="16.6640625" hidden="1" customWidth="1"/>
    <col min="34" max="34" width="15.5546875" hidden="1" customWidth="1"/>
    <col min="35" max="35" width="15.5546875" customWidth="1"/>
    <col min="36" max="36" width="14.6640625" customWidth="1"/>
    <col min="37" max="37" width="18.5546875" customWidth="1"/>
  </cols>
  <sheetData>
    <row r="1" spans="1:43" s="1" customFormat="1" x14ac:dyDescent="0.25">
      <c r="A1" s="10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3"/>
      <c r="O1" s="13"/>
      <c r="P1" s="14"/>
      <c r="Q1" s="14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516"/>
      <c r="AD1" s="13"/>
      <c r="AE1" s="13"/>
      <c r="AF1" s="13"/>
      <c r="AG1" s="13"/>
      <c r="AH1" s="13"/>
      <c r="AI1" s="516"/>
      <c r="AJ1" s="13"/>
      <c r="AK1" s="13"/>
    </row>
    <row r="2" spans="1:43" s="1" customFormat="1" x14ac:dyDescent="0.25">
      <c r="A2" s="10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3"/>
      <c r="O2" s="13"/>
      <c r="P2" s="14"/>
      <c r="Q2" s="14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516"/>
      <c r="AD2" s="13"/>
      <c r="AE2" s="13"/>
      <c r="AF2" s="13"/>
      <c r="AG2" s="13"/>
      <c r="AH2" s="13"/>
      <c r="AI2" s="516"/>
      <c r="AJ2" s="13"/>
      <c r="AK2" s="13"/>
    </row>
    <row r="3" spans="1:43" s="1" customFormat="1" ht="12.75" customHeight="1" x14ac:dyDescent="0.25">
      <c r="A3" s="10"/>
      <c r="C3" s="13"/>
      <c r="D3" s="13"/>
      <c r="E3" s="13"/>
      <c r="F3" s="13"/>
      <c r="G3" s="13"/>
      <c r="H3" s="13"/>
      <c r="I3" s="13"/>
      <c r="J3" s="13"/>
      <c r="K3" s="725" t="s">
        <v>82</v>
      </c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13"/>
      <c r="AC3" s="516"/>
      <c r="AD3" s="13"/>
      <c r="AE3" s="13"/>
      <c r="AF3" s="13"/>
      <c r="AG3" s="13"/>
      <c r="AH3" s="13"/>
      <c r="AI3" s="516"/>
      <c r="AJ3" s="13"/>
      <c r="AK3" s="13"/>
    </row>
    <row r="4" spans="1:43" s="1" customFormat="1" ht="12.75" customHeight="1" x14ac:dyDescent="0.25">
      <c r="A4" s="10"/>
      <c r="C4" s="13"/>
      <c r="D4" s="13"/>
      <c r="E4" s="13"/>
      <c r="F4" s="13"/>
      <c r="G4" s="13"/>
      <c r="H4" s="13"/>
      <c r="I4" s="13"/>
      <c r="J4" s="13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13"/>
      <c r="AC4" s="516"/>
      <c r="AD4" s="13"/>
      <c r="AE4" s="13"/>
      <c r="AF4" s="13"/>
      <c r="AG4" s="13"/>
      <c r="AH4" s="13"/>
      <c r="AI4" s="516"/>
      <c r="AJ4" s="13"/>
      <c r="AK4" s="13"/>
    </row>
    <row r="5" spans="1:43" s="1" customFormat="1" ht="12.75" customHeight="1" x14ac:dyDescent="0.25">
      <c r="A5" s="10"/>
      <c r="C5" s="13"/>
      <c r="D5" s="13"/>
      <c r="E5" s="13"/>
      <c r="F5" s="13"/>
      <c r="G5" s="13"/>
      <c r="H5" s="13"/>
      <c r="I5" s="13"/>
      <c r="J5" s="13"/>
      <c r="K5" s="725"/>
      <c r="L5" s="725"/>
      <c r="M5" s="725"/>
      <c r="N5" s="725"/>
      <c r="O5" s="725"/>
      <c r="P5" s="725"/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13"/>
      <c r="AC5" s="516"/>
      <c r="AD5" s="13"/>
      <c r="AE5" s="13"/>
      <c r="AF5" s="13"/>
      <c r="AG5" s="13"/>
      <c r="AH5" s="13"/>
      <c r="AI5" s="516"/>
      <c r="AJ5" s="13"/>
      <c r="AK5" s="13"/>
    </row>
    <row r="6" spans="1:43" s="1" customFormat="1" ht="28.2" x14ac:dyDescent="0.5">
      <c r="A6" s="728" t="s">
        <v>202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P6" s="728"/>
      <c r="Q6" s="728"/>
      <c r="R6" s="728"/>
      <c r="S6" s="728"/>
      <c r="T6" s="728"/>
      <c r="U6" s="728"/>
      <c r="V6" s="728"/>
      <c r="W6" s="728"/>
      <c r="X6" s="728"/>
      <c r="Y6" s="728"/>
      <c r="Z6" s="728"/>
      <c r="AA6" s="728"/>
      <c r="AB6" s="728"/>
      <c r="AC6" s="728"/>
      <c r="AD6" s="728"/>
      <c r="AE6" s="728"/>
      <c r="AF6" s="728"/>
      <c r="AG6" s="728"/>
      <c r="AH6" s="728"/>
      <c r="AI6" s="728"/>
      <c r="AJ6" s="728"/>
      <c r="AK6" s="728"/>
    </row>
    <row r="7" spans="1:43" s="1" customFormat="1" ht="18" thickBot="1" x14ac:dyDescent="0.35">
      <c r="A7" s="786" t="s">
        <v>83</v>
      </c>
      <c r="B7" s="787"/>
      <c r="C7" s="787"/>
      <c r="D7" s="787"/>
      <c r="E7" s="787"/>
      <c r="F7" s="787"/>
      <c r="G7" s="787"/>
      <c r="H7" s="787"/>
      <c r="I7" s="787"/>
      <c r="J7" s="787"/>
      <c r="K7" s="787"/>
      <c r="L7" s="787"/>
      <c r="M7" s="787"/>
      <c r="N7" s="787"/>
      <c r="O7" s="787"/>
      <c r="P7" s="787"/>
      <c r="Q7" s="787"/>
      <c r="R7" s="787"/>
      <c r="S7" s="787"/>
      <c r="T7" s="787"/>
      <c r="U7" s="787"/>
      <c r="V7" s="787"/>
      <c r="W7" s="787"/>
      <c r="X7" s="787"/>
      <c r="Y7" s="787"/>
      <c r="Z7" s="787"/>
      <c r="AA7" s="787"/>
      <c r="AB7" s="787"/>
      <c r="AC7" s="787"/>
      <c r="AD7" s="787"/>
      <c r="AE7" s="787"/>
      <c r="AF7" s="787"/>
      <c r="AG7" s="787"/>
      <c r="AH7" s="787"/>
      <c r="AI7" s="787"/>
      <c r="AJ7" s="787"/>
      <c r="AK7" s="787"/>
    </row>
    <row r="8" spans="1:43" ht="21" customHeight="1" thickBot="1" x14ac:dyDescent="0.4">
      <c r="A8" s="788" t="s">
        <v>129</v>
      </c>
      <c r="B8" s="789"/>
      <c r="C8" s="789"/>
      <c r="D8" s="789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540"/>
      <c r="AD8" s="790" t="s">
        <v>129</v>
      </c>
      <c r="AE8" s="791"/>
      <c r="AF8" s="791"/>
      <c r="AG8" s="791"/>
      <c r="AH8" s="791"/>
      <c r="AI8" s="791"/>
      <c r="AJ8" s="791"/>
      <c r="AK8" s="791"/>
    </row>
    <row r="9" spans="1:43" s="2" customFormat="1" ht="20.25" customHeight="1" thickBot="1" x14ac:dyDescent="0.3">
      <c r="A9" s="771" t="s">
        <v>1</v>
      </c>
      <c r="B9" s="771" t="s">
        <v>0</v>
      </c>
      <c r="C9" s="732" t="s">
        <v>77</v>
      </c>
      <c r="D9" s="732" t="s">
        <v>117</v>
      </c>
      <c r="E9" s="732" t="s">
        <v>125</v>
      </c>
      <c r="F9" s="732" t="s">
        <v>111</v>
      </c>
      <c r="G9" s="732" t="s">
        <v>102</v>
      </c>
      <c r="H9" s="732" t="s">
        <v>79</v>
      </c>
      <c r="I9" s="732" t="s">
        <v>143</v>
      </c>
      <c r="J9" s="726" t="s">
        <v>142</v>
      </c>
      <c r="K9" s="726" t="s">
        <v>119</v>
      </c>
      <c r="L9" s="726" t="s">
        <v>141</v>
      </c>
      <c r="M9" s="726" t="s">
        <v>142</v>
      </c>
      <c r="N9" s="734" t="s">
        <v>85</v>
      </c>
      <c r="O9" s="734" t="s">
        <v>118</v>
      </c>
      <c r="P9" s="736" t="s">
        <v>86</v>
      </c>
      <c r="Q9" s="734" t="s">
        <v>101</v>
      </c>
      <c r="R9" s="734" t="s">
        <v>84</v>
      </c>
      <c r="S9" s="736" t="s">
        <v>198</v>
      </c>
      <c r="T9" s="734" t="s">
        <v>69</v>
      </c>
      <c r="U9" s="783" t="s">
        <v>59</v>
      </c>
      <c r="V9" s="784"/>
      <c r="W9" s="784"/>
      <c r="X9" s="784"/>
      <c r="Y9" s="785"/>
      <c r="Z9" s="734" t="s">
        <v>68</v>
      </c>
      <c r="AA9" s="732" t="s">
        <v>89</v>
      </c>
      <c r="AB9" s="732" t="s">
        <v>88</v>
      </c>
      <c r="AC9" s="736" t="s">
        <v>199</v>
      </c>
      <c r="AD9" s="732" t="s">
        <v>87</v>
      </c>
      <c r="AE9" s="732" t="s">
        <v>91</v>
      </c>
      <c r="AF9" s="732" t="s">
        <v>90</v>
      </c>
      <c r="AG9" s="732" t="s">
        <v>169</v>
      </c>
      <c r="AH9" s="732" t="s">
        <v>182</v>
      </c>
      <c r="AI9" s="736" t="s">
        <v>197</v>
      </c>
      <c r="AJ9" s="736" t="s">
        <v>195</v>
      </c>
      <c r="AK9" s="732" t="s">
        <v>92</v>
      </c>
      <c r="AL9" s="17"/>
      <c r="AM9" s="17"/>
    </row>
    <row r="10" spans="1:43" s="2" customFormat="1" ht="89.25" customHeight="1" thickBot="1" x14ac:dyDescent="0.3">
      <c r="A10" s="772"/>
      <c r="B10" s="772"/>
      <c r="C10" s="733"/>
      <c r="D10" s="733"/>
      <c r="E10" s="733"/>
      <c r="F10" s="733"/>
      <c r="G10" s="733"/>
      <c r="H10" s="733"/>
      <c r="I10" s="733"/>
      <c r="J10" s="727"/>
      <c r="K10" s="727"/>
      <c r="L10" s="727"/>
      <c r="M10" s="727"/>
      <c r="N10" s="735"/>
      <c r="O10" s="735"/>
      <c r="P10" s="737"/>
      <c r="Q10" s="735"/>
      <c r="R10" s="735"/>
      <c r="S10" s="737"/>
      <c r="T10" s="735"/>
      <c r="U10" s="76" t="s">
        <v>138</v>
      </c>
      <c r="V10" s="76" t="s">
        <v>61</v>
      </c>
      <c r="W10" s="76" t="s">
        <v>62</v>
      </c>
      <c r="X10" s="76" t="s">
        <v>63</v>
      </c>
      <c r="Y10" s="76" t="s">
        <v>64</v>
      </c>
      <c r="Z10" s="735"/>
      <c r="AA10" s="733"/>
      <c r="AB10" s="733"/>
      <c r="AC10" s="737"/>
      <c r="AD10" s="733"/>
      <c r="AE10" s="733"/>
      <c r="AF10" s="733"/>
      <c r="AG10" s="733"/>
      <c r="AH10" s="733"/>
      <c r="AI10" s="737"/>
      <c r="AJ10" s="737"/>
      <c r="AK10" s="733"/>
      <c r="AL10" s="17"/>
      <c r="AM10" s="17"/>
    </row>
    <row r="11" spans="1:43" s="1" customFormat="1" ht="21.75" customHeight="1" x14ac:dyDescent="0.25">
      <c r="A11" s="305">
        <v>505</v>
      </c>
      <c r="B11" s="401" t="s">
        <v>45</v>
      </c>
      <c r="C11" s="305">
        <v>0</v>
      </c>
      <c r="D11" s="305"/>
      <c r="E11" s="306"/>
      <c r="F11" s="307"/>
      <c r="G11" s="402">
        <v>3125</v>
      </c>
      <c r="H11" s="403">
        <f t="shared" ref="H11:H42" si="0">SUM(G11:G11)</f>
        <v>3125</v>
      </c>
      <c r="I11" s="533"/>
      <c r="J11" s="404"/>
      <c r="K11" s="310">
        <f>H11*'DATOS REFERENCIALES'!$C$4</f>
        <v>59351.53125</v>
      </c>
      <c r="L11" s="310"/>
      <c r="M11" s="310"/>
      <c r="N11" s="312">
        <f>LOOKUP(C11,'TABLA ANTIG.'!$A$4:$A$39,'TABLA ANTIG.'!$B$4:$B$39)*(K11)</f>
        <v>0</v>
      </c>
      <c r="O11" s="312">
        <f t="shared" ref="O11:O42" si="1">K11*0.1</f>
        <v>5935.1531250000007</v>
      </c>
      <c r="P11" s="310">
        <f>IF(H11&gt;2069,'DATOS REFERENCIALES'!$D$8,IF(('DATOS REFERENCIALES'!$D$8/2070*H11)&lt;'DATOS REFERENCIALES'!$G$8,'DATOS REFERENCIALES'!$G$8))</f>
        <v>26646</v>
      </c>
      <c r="Q11" s="316">
        <f>LOOKUP(C11,'TABLA ANTIG.'!$A$4:$A$39,'TABLA ANTIG.'!$B$4:$B$39)*(P11)</f>
        <v>0</v>
      </c>
      <c r="R11" s="312">
        <f t="shared" ref="R11:R42" si="2">(K11+P11)*0.15</f>
        <v>12899.629687499999</v>
      </c>
      <c r="S11" s="312">
        <f>IF(C11&gt;11,IF(H11&gt;2069,'DATOS REFERENCIALES'!$D$18,IF(('DATOS REFERENCIALES'!$D$18/2070*H11)&lt;'DATOS REFERENCIALES'!$G$18,'DATOS REFERENCIALES'!$G$18,'DATOS REFERENCIALES'!$D$18/2070*H11)),0)</f>
        <v>0</v>
      </c>
      <c r="T11" s="312">
        <f>K11+N11+O11+P11+Q11+R11+S11</f>
        <v>104832.31406249999</v>
      </c>
      <c r="U11" s="312">
        <f t="shared" ref="U11:U42" si="3">$T11*11%</f>
        <v>11531.554546874999</v>
      </c>
      <c r="V11" s="312">
        <f t="shared" ref="V11:W42" si="4">$T11*3%</f>
        <v>3144.9694218749996</v>
      </c>
      <c r="W11" s="312">
        <f t="shared" si="4"/>
        <v>3144.9694218749996</v>
      </c>
      <c r="X11" s="312">
        <f t="shared" ref="X11:X42" si="5">$T11*2%</f>
        <v>2096.6462812499999</v>
      </c>
      <c r="Y11" s="312">
        <f t="shared" ref="Y11:Y42" si="6">$T11*4.5%</f>
        <v>4717.4541328124997</v>
      </c>
      <c r="Z11" s="312">
        <f t="shared" ref="Z11:Z42" si="7">SUM(U11:Y11)</f>
        <v>24635.593804687494</v>
      </c>
      <c r="AA11" s="315">
        <f t="shared" ref="AA11:AA42" si="8">T11-Z11</f>
        <v>80196.7202578125</v>
      </c>
      <c r="AB11" s="336">
        <f>'DATOS REFERENCIALES'!$D$10</f>
        <v>0</v>
      </c>
      <c r="AC11" s="312">
        <f>IF(C11&lt;12,IF(H11&gt;2069,'DATOS REFERENCIALES'!$D$17,'DATOS REFERENCIALES'!$D$17/2070*H11),0)</f>
        <v>33194</v>
      </c>
      <c r="AD11" s="312">
        <f>IF((IF(H11&gt;2069,('DATOS REFERENCIALES'!$D$9-(T11-U11-V11-W11-X11-Y11+AB11+AC11)),(('DATOS REFERENCIALES'!$D$9/2070)*H11)-(K11+N11+O11+P11+Q11+S11-U11-V11-W11-X11-Y11+AB11+AC11)))&lt;0,0,IF(H11&gt;2069,(('DATOS REFERENCIALES'!$D$9)-(T11-U11-V11-W11-X11-Y11+AB11+AC11)),(('DATOS REFERENCIALES'!$D$9/2070)*H11)-(K11+N11+O11+P11+Q11+S11-U11-V11-W11-X11-Y11+AB11+AC11)))</f>
        <v>13719.2797421875</v>
      </c>
      <c r="AE11" s="312">
        <f t="shared" ref="AE11:AE42" si="9">SUM(AA11:AD11)</f>
        <v>127110</v>
      </c>
      <c r="AF11" s="317">
        <f>'DATOS REFERENCIALES'!$D$13</f>
        <v>10282</v>
      </c>
      <c r="AG11" s="338"/>
      <c r="AH11" s="316"/>
      <c r="AI11" s="317">
        <f>'DATOS REFERENCIALES'!$D$16</f>
        <v>4500</v>
      </c>
      <c r="AJ11" s="315">
        <f>'DATOS REFERENCIALES'!$D$12</f>
        <v>13398</v>
      </c>
      <c r="AK11" s="763">
        <f>+AE11+AE12+AF11+AI11+AJ11</f>
        <v>167208.52936914063</v>
      </c>
      <c r="AL11" s="17"/>
      <c r="AM11" s="17"/>
      <c r="AQ11" s="8"/>
    </row>
    <row r="12" spans="1:43" s="1" customFormat="1" ht="22.5" customHeight="1" thickBot="1" x14ac:dyDescent="0.3">
      <c r="A12" s="320">
        <v>505</v>
      </c>
      <c r="B12" s="405" t="s">
        <v>45</v>
      </c>
      <c r="C12" s="320">
        <f>IF(C11&gt;0,C11,0)</f>
        <v>0</v>
      </c>
      <c r="D12" s="320"/>
      <c r="E12" s="321"/>
      <c r="F12" s="322"/>
      <c r="G12" s="432"/>
      <c r="H12" s="433"/>
      <c r="I12" s="522">
        <f>H11*'DATOS REFERENCIALES'!$K$4/100</f>
        <v>468.75</v>
      </c>
      <c r="J12" s="606" t="s">
        <v>166</v>
      </c>
      <c r="K12" s="325"/>
      <c r="L12" s="325">
        <f>I12*'DATOS REFERENCIALES'!$C$4</f>
        <v>8902.7296874999993</v>
      </c>
      <c r="M12" s="325">
        <f>IF(J12='DATOS REFERENCIALES'!$C$39,K11*'DATOS REFERENCIALES'!$D$39,IF(J12='DATOS REFERENCIALES'!$C$40,('DATOS REFERENCIALES'!$D$40*K11),IF(J12='DATOS REFERENCIALES'!$C$41,('DATOS REFERENCIALES'!$D$41*K11),0)))</f>
        <v>3561.0918750000001</v>
      </c>
      <c r="N12" s="327">
        <f>LOOKUP(C12,'TABLA ANTIG.'!$A$4:$A$39,'TABLA ANTIG.'!$B$4:$B$39)*(L12+M12)</f>
        <v>0</v>
      </c>
      <c r="O12" s="327">
        <f>(L12+M12)*0.1</f>
        <v>1246.38215625</v>
      </c>
      <c r="P12" s="325"/>
      <c r="Q12" s="327"/>
      <c r="R12" s="327">
        <f>(L12+M12)*0.15</f>
        <v>1869.5732343749999</v>
      </c>
      <c r="S12" s="327"/>
      <c r="T12" s="327">
        <f>L12+M12+N12+O12+P12+Q12+R12</f>
        <v>15579.776953125</v>
      </c>
      <c r="U12" s="330">
        <f t="shared" si="3"/>
        <v>1713.7754648437499</v>
      </c>
      <c r="V12" s="327">
        <f t="shared" si="4"/>
        <v>467.39330859374996</v>
      </c>
      <c r="W12" s="330">
        <f t="shared" si="4"/>
        <v>467.39330859374996</v>
      </c>
      <c r="X12" s="327">
        <f>$T12*2%</f>
        <v>311.59553906249999</v>
      </c>
      <c r="Y12" s="327">
        <f t="shared" si="6"/>
        <v>701.08996289062497</v>
      </c>
      <c r="Z12" s="327">
        <f t="shared" si="7"/>
        <v>3661.2475839843751</v>
      </c>
      <c r="AA12" s="331">
        <f t="shared" si="8"/>
        <v>11918.529369140624</v>
      </c>
      <c r="AB12" s="327"/>
      <c r="AC12" s="327"/>
      <c r="AD12" s="327"/>
      <c r="AE12" s="326">
        <f t="shared" si="9"/>
        <v>11918.529369140624</v>
      </c>
      <c r="AF12" s="332"/>
      <c r="AG12" s="344"/>
      <c r="AH12" s="326"/>
      <c r="AI12" s="326"/>
      <c r="AJ12" s="327"/>
      <c r="AK12" s="764"/>
      <c r="AL12" s="17"/>
      <c r="AM12" s="17"/>
      <c r="AQ12" s="8"/>
    </row>
    <row r="13" spans="1:43" s="1" customFormat="1" ht="25.5" customHeight="1" x14ac:dyDescent="0.25">
      <c r="A13" s="597">
        <v>551</v>
      </c>
      <c r="B13" s="598" t="s">
        <v>46</v>
      </c>
      <c r="C13" s="597">
        <v>0</v>
      </c>
      <c r="D13" s="597"/>
      <c r="E13" s="599"/>
      <c r="F13" s="600"/>
      <c r="G13" s="601">
        <v>2667</v>
      </c>
      <c r="H13" s="602">
        <f t="shared" si="0"/>
        <v>2667</v>
      </c>
      <c r="I13" s="603"/>
      <c r="J13" s="604"/>
      <c r="K13" s="438">
        <f>H13*'DATOS REFERENCIALES'!$C$4</f>
        <v>50652.970829999998</v>
      </c>
      <c r="L13" s="438"/>
      <c r="M13" s="438"/>
      <c r="N13" s="441">
        <f>LOOKUP(C13,'TABLA ANTIG.'!$A$4:$A$39,'TABLA ANTIG.'!$B$4:$B$39)*(K13)</f>
        <v>0</v>
      </c>
      <c r="O13" s="441">
        <f t="shared" si="1"/>
        <v>5065.2970830000004</v>
      </c>
      <c r="P13" s="438">
        <f>IF(H13&gt;2069,'DATOS REFERENCIALES'!$D$8,IF(('DATOS REFERENCIALES'!$D$8/2070*H13)&lt;'DATOS REFERENCIALES'!$G$8,'DATOS REFERENCIALES'!$G$8))</f>
        <v>26646</v>
      </c>
      <c r="Q13" s="440">
        <f>LOOKUP(C13,'TABLA ANTIG.'!$A$4:$A$39,'TABLA ANTIG.'!$B$4:$B$39)*(P13)</f>
        <v>0</v>
      </c>
      <c r="R13" s="441">
        <f t="shared" si="2"/>
        <v>11594.8456245</v>
      </c>
      <c r="S13" s="441">
        <f>IF(C13&gt;11,IF(H13&gt;2069,'DATOS REFERENCIALES'!$D$18,IF(('DATOS REFERENCIALES'!$D$18/2070*H13)&lt;'DATOS REFERENCIALES'!$G$18,'DATOS REFERENCIALES'!$G$18,'DATOS REFERENCIALES'!$D$18/2070*H13)),0)</f>
        <v>0</v>
      </c>
      <c r="T13" s="441">
        <f>K13+N13+O13+P13+Q13+R13+S13</f>
        <v>93959.113537499987</v>
      </c>
      <c r="U13" s="441">
        <f t="shared" si="3"/>
        <v>10335.502489124998</v>
      </c>
      <c r="V13" s="441">
        <f t="shared" si="4"/>
        <v>2818.7734061249994</v>
      </c>
      <c r="W13" s="441">
        <f t="shared" si="4"/>
        <v>2818.7734061249994</v>
      </c>
      <c r="X13" s="441">
        <f t="shared" si="5"/>
        <v>1879.1822707499998</v>
      </c>
      <c r="Y13" s="441">
        <f t="shared" si="6"/>
        <v>4228.1601091874991</v>
      </c>
      <c r="Z13" s="441">
        <f t="shared" si="7"/>
        <v>22080.391681312496</v>
      </c>
      <c r="AA13" s="439">
        <f t="shared" si="8"/>
        <v>71878.721856187491</v>
      </c>
      <c r="AB13" s="605">
        <f>'DATOS REFERENCIALES'!$D$10</f>
        <v>0</v>
      </c>
      <c r="AC13" s="441">
        <f>IF(C13&lt;12,IF(H13&gt;2069,'DATOS REFERENCIALES'!$D$17,'DATOS REFERENCIALES'!$D$17/2070*H13),0)</f>
        <v>33194</v>
      </c>
      <c r="AD13" s="441">
        <f>IF((IF(H13&gt;2069,('DATOS REFERENCIALES'!$D$9-(T13-U13-V13-W13-X13-Y13+AB13+AC13)),(('DATOS REFERENCIALES'!$D$9/2070)*H13)-(K13+N13+O13+P13+Q13+S13-U13-V13-W13-X13-Y13+AB13+AC13)))&lt;0,0,IF(H13&gt;2069,(('DATOS REFERENCIALES'!$D$9)-(T13-U13-V13-W13-X13-Y13+AB13+AC13)),(('DATOS REFERENCIALES'!$D$9/2070)*H13)-(K13+N13+O13+P13+Q13+S13-U13-V13-W13-X13-Y13+AB13+AC13)))</f>
        <v>22037.278143812495</v>
      </c>
      <c r="AE13" s="441">
        <f t="shared" si="9"/>
        <v>127109.99999999999</v>
      </c>
      <c r="AF13" s="486">
        <f>'DATOS REFERENCIALES'!$D$13</f>
        <v>10282</v>
      </c>
      <c r="AG13" s="607"/>
      <c r="AH13" s="440"/>
      <c r="AI13" s="486">
        <f>'DATOS REFERENCIALES'!$D$16</f>
        <v>4500</v>
      </c>
      <c r="AJ13" s="439">
        <f>'DATOS REFERENCIALES'!$D$12</f>
        <v>13398</v>
      </c>
      <c r="AK13" s="793">
        <f>+AE13+AE14+AF13+AI13+AJ13</f>
        <v>162555.53550342811</v>
      </c>
      <c r="AL13" s="17"/>
      <c r="AM13" s="17"/>
      <c r="AQ13" s="8"/>
    </row>
    <row r="14" spans="1:43" s="1" customFormat="1" ht="21.75" customHeight="1" thickBot="1" x14ac:dyDescent="0.3">
      <c r="A14" s="296">
        <v>551</v>
      </c>
      <c r="B14" s="424" t="s">
        <v>46</v>
      </c>
      <c r="C14" s="257">
        <f>IF(C13&gt;0,C13,0)</f>
        <v>0</v>
      </c>
      <c r="D14" s="296"/>
      <c r="E14" s="297"/>
      <c r="F14" s="298"/>
      <c r="G14" s="425"/>
      <c r="H14" s="426"/>
      <c r="I14" s="529">
        <f>H13*'DATOS REFERENCIALES'!$K$4/100</f>
        <v>400.05</v>
      </c>
      <c r="J14" s="427"/>
      <c r="K14" s="300"/>
      <c r="L14" s="300">
        <f>I14*'DATOS REFERENCIALES'!$C$4</f>
        <v>7597.9456245000001</v>
      </c>
      <c r="M14" s="300"/>
      <c r="N14" s="268">
        <f>LOOKUP(C14,'TABLA ANTIG.'!$A$4:$A$39,'TABLA ANTIG.'!$B$4:$B$39)*(L14+M14)</f>
        <v>0</v>
      </c>
      <c r="O14" s="268">
        <f>(L14+M14)*0.1</f>
        <v>759.79456245000006</v>
      </c>
      <c r="P14" s="300"/>
      <c r="Q14" s="268"/>
      <c r="R14" s="263">
        <f>(L14+M14)*0.15</f>
        <v>1139.691843675</v>
      </c>
      <c r="S14" s="301"/>
      <c r="T14" s="268">
        <f>L14+M14+N14+O14+P14+Q14+R14</f>
        <v>9497.4320306250011</v>
      </c>
      <c r="U14" s="301">
        <f t="shared" si="3"/>
        <v>1044.7175233687501</v>
      </c>
      <c r="V14" s="268">
        <f t="shared" si="4"/>
        <v>284.92296091874999</v>
      </c>
      <c r="W14" s="301">
        <f t="shared" si="4"/>
        <v>284.92296091874999</v>
      </c>
      <c r="X14" s="268">
        <f>$T14*2%</f>
        <v>189.94864061250001</v>
      </c>
      <c r="Y14" s="268">
        <f t="shared" si="6"/>
        <v>427.38444137812502</v>
      </c>
      <c r="Z14" s="268">
        <f t="shared" si="7"/>
        <v>2231.896527196875</v>
      </c>
      <c r="AA14" s="302">
        <f t="shared" si="8"/>
        <v>7265.5355034281256</v>
      </c>
      <c r="AB14" s="268"/>
      <c r="AC14" s="268"/>
      <c r="AD14" s="268"/>
      <c r="AE14" s="266">
        <f t="shared" si="9"/>
        <v>7265.5355034281256</v>
      </c>
      <c r="AF14" s="481"/>
      <c r="AG14" s="372"/>
      <c r="AH14" s="266"/>
      <c r="AI14" s="266"/>
      <c r="AJ14" s="268"/>
      <c r="AK14" s="766"/>
      <c r="AL14" s="17"/>
      <c r="AM14" s="17"/>
      <c r="AQ14" s="8"/>
    </row>
    <row r="15" spans="1:43" s="7" customFormat="1" ht="21.75" customHeight="1" x14ac:dyDescent="0.25">
      <c r="A15" s="428">
        <v>849</v>
      </c>
      <c r="B15" s="429" t="s">
        <v>78</v>
      </c>
      <c r="C15" s="271">
        <v>0</v>
      </c>
      <c r="D15" s="271"/>
      <c r="E15" s="346"/>
      <c r="F15" s="347"/>
      <c r="G15" s="412">
        <v>2359</v>
      </c>
      <c r="H15" s="413">
        <f t="shared" si="0"/>
        <v>2359</v>
      </c>
      <c r="I15" s="536"/>
      <c r="J15" s="414"/>
      <c r="K15" s="273">
        <f>H15*'DATOS REFERENCIALES'!$C$4</f>
        <v>44803.283909999998</v>
      </c>
      <c r="L15" s="273"/>
      <c r="M15" s="273"/>
      <c r="N15" s="275">
        <f>LOOKUP(C15,'TABLA ANTIG.'!$A$4:$A$39,'TABLA ANTIG.'!$B$4:$B$39)*(K15)</f>
        <v>0</v>
      </c>
      <c r="O15" s="275">
        <f t="shared" si="1"/>
        <v>4480.328391</v>
      </c>
      <c r="P15" s="273">
        <f>IF(H15&gt;2069,'DATOS REFERENCIALES'!$D$8,IF(('DATOS REFERENCIALES'!$D$8/2070*H15)&lt;'DATOS REFERENCIALES'!$G$8,'DATOS REFERENCIALES'!$G$8))</f>
        <v>26646</v>
      </c>
      <c r="Q15" s="278">
        <f>LOOKUP(C15,'TABLA ANTIG.'!$A$4:$A$39,'TABLA ANTIG.'!$B$4:$B$39)*(P15)</f>
        <v>0</v>
      </c>
      <c r="R15" s="275">
        <f t="shared" si="2"/>
        <v>10717.3925865</v>
      </c>
      <c r="S15" s="275">
        <f>IF(C15&gt;11,IF(H15&gt;2069,'DATOS REFERENCIALES'!$D$18,IF(('DATOS REFERENCIALES'!$D$18/2070*H15)&lt;'DATOS REFERENCIALES'!$G$18,'DATOS REFERENCIALES'!$G$18,'DATOS REFERENCIALES'!$D$18/2070*H15)),0)</f>
        <v>0</v>
      </c>
      <c r="T15" s="275">
        <f>K15+N15+O15+P15+Q15+R15+S15</f>
        <v>86647.004887500007</v>
      </c>
      <c r="U15" s="275">
        <f t="shared" si="3"/>
        <v>9531.1705376250011</v>
      </c>
      <c r="V15" s="275">
        <f t="shared" si="4"/>
        <v>2599.4101466249999</v>
      </c>
      <c r="W15" s="275">
        <f t="shared" si="4"/>
        <v>2599.4101466249999</v>
      </c>
      <c r="X15" s="275">
        <f t="shared" si="5"/>
        <v>1732.9400977500002</v>
      </c>
      <c r="Y15" s="275">
        <f t="shared" si="6"/>
        <v>3899.1152199375001</v>
      </c>
      <c r="Z15" s="275">
        <f t="shared" si="7"/>
        <v>20362.046148562498</v>
      </c>
      <c r="AA15" s="276">
        <f t="shared" si="8"/>
        <v>66284.958738937508</v>
      </c>
      <c r="AB15" s="349">
        <f>'DATOS REFERENCIALES'!$D$10</f>
        <v>0</v>
      </c>
      <c r="AC15" s="378">
        <f>IF(C15&lt;12,IF(H15&gt;2069,'DATOS REFERENCIALES'!$D$17,'DATOS REFERENCIALES'!$D$17/2070*H15),0)</f>
        <v>33194</v>
      </c>
      <c r="AD15" s="378">
        <f>IF((IF(H15&gt;2069,('DATOS REFERENCIALES'!$D$9-(T15-U15-V15-W15-X15-Y15+AB15+AC15)),(('DATOS REFERENCIALES'!$D$9/2070)*H15)-(K15+N15+O15+P15+Q15+S15-U15-V15-W15-X15-Y15+AB15+AC15)))&lt;0,0,IF(H15&gt;2069,(('DATOS REFERENCIALES'!$D$9)-(T15-U15-V15-W15-X15-Y15+AB15+AC15)),(('DATOS REFERENCIALES'!$D$9/2070)*H15)-(K15+N15+O15+P15+Q15+S15-U15-V15-W15-X15-Y15+AB15+AC15)))</f>
        <v>27631.041261062506</v>
      </c>
      <c r="AE15" s="275">
        <f t="shared" si="9"/>
        <v>127110.00000000001</v>
      </c>
      <c r="AF15" s="279">
        <f>'DATOS REFERENCIALES'!$D$13</f>
        <v>10282</v>
      </c>
      <c r="AG15" s="351"/>
      <c r="AH15" s="377"/>
      <c r="AI15" s="279">
        <f>'DATOS REFERENCIALES'!$D$16</f>
        <v>4500</v>
      </c>
      <c r="AJ15" s="379">
        <f>'DATOS REFERENCIALES'!$D$12</f>
        <v>13398</v>
      </c>
      <c r="AK15" s="761">
        <f>+AE15+AE16+AF15+AI15+AJ15</f>
        <v>161716.47103584063</v>
      </c>
      <c r="AL15" s="17"/>
      <c r="AM15" s="17"/>
      <c r="AQ15" s="8"/>
    </row>
    <row r="16" spans="1:43" s="7" customFormat="1" ht="21.75" customHeight="1" thickBot="1" x14ac:dyDescent="0.3">
      <c r="A16" s="430">
        <v>849</v>
      </c>
      <c r="B16" s="431" t="s">
        <v>78</v>
      </c>
      <c r="C16" s="282">
        <f>IF(C15&gt;0,C15,0)</f>
        <v>0</v>
      </c>
      <c r="D16" s="282"/>
      <c r="E16" s="353"/>
      <c r="F16" s="354"/>
      <c r="G16" s="416"/>
      <c r="H16" s="417"/>
      <c r="I16" s="525">
        <f>H15*'DATOS REFERENCIALES'!$K$4/100</f>
        <v>353.85</v>
      </c>
      <c r="J16" s="418"/>
      <c r="K16" s="284"/>
      <c r="L16" s="284">
        <f>I16*'DATOS REFERENCIALES'!$C$4</f>
        <v>6720.4925865000005</v>
      </c>
      <c r="M16" s="284"/>
      <c r="N16" s="288">
        <f>LOOKUP(C16,'TABLA ANTIG.'!$A$4:$A$39,'TABLA ANTIG.'!$B$4:$B$39)*(L16+M16)</f>
        <v>0</v>
      </c>
      <c r="O16" s="288">
        <f>(L16+M16)*0.1</f>
        <v>672.04925865000007</v>
      </c>
      <c r="P16" s="284"/>
      <c r="Q16" s="288"/>
      <c r="R16" s="419">
        <f>(L16+M16)*0.15</f>
        <v>1008.073887975</v>
      </c>
      <c r="S16" s="505"/>
      <c r="T16" s="288">
        <f>L16+M16+N16+O16+P16+Q16+R16</f>
        <v>8400.6157331250015</v>
      </c>
      <c r="U16" s="289">
        <f t="shared" si="3"/>
        <v>924.06773064375022</v>
      </c>
      <c r="V16" s="288">
        <f t="shared" si="4"/>
        <v>252.01847199375004</v>
      </c>
      <c r="W16" s="289">
        <f t="shared" si="4"/>
        <v>252.01847199375004</v>
      </c>
      <c r="X16" s="288">
        <f>$T16*2%</f>
        <v>168.01231466250005</v>
      </c>
      <c r="Y16" s="288">
        <f t="shared" si="6"/>
        <v>378.02770799062506</v>
      </c>
      <c r="Z16" s="288">
        <f t="shared" si="7"/>
        <v>1974.1446972843755</v>
      </c>
      <c r="AA16" s="291">
        <f t="shared" si="8"/>
        <v>6426.4710358406264</v>
      </c>
      <c r="AB16" s="288"/>
      <c r="AC16" s="288"/>
      <c r="AD16" s="288"/>
      <c r="AE16" s="290">
        <f t="shared" si="9"/>
        <v>6426.4710358406264</v>
      </c>
      <c r="AF16" s="292"/>
      <c r="AG16" s="358"/>
      <c r="AH16" s="290"/>
      <c r="AI16" s="290"/>
      <c r="AJ16" s="288"/>
      <c r="AK16" s="762"/>
      <c r="AL16" s="17"/>
      <c r="AM16" s="17"/>
      <c r="AQ16" s="8"/>
    </row>
    <row r="17" spans="1:43" s="1" customFormat="1" ht="21.75" customHeight="1" x14ac:dyDescent="0.25">
      <c r="A17" s="305">
        <v>516</v>
      </c>
      <c r="B17" s="401" t="s">
        <v>47</v>
      </c>
      <c r="C17" s="305">
        <v>0</v>
      </c>
      <c r="D17" s="305"/>
      <c r="E17" s="306"/>
      <c r="F17" s="307"/>
      <c r="G17" s="402">
        <v>1783</v>
      </c>
      <c r="H17" s="403">
        <f t="shared" si="0"/>
        <v>1783</v>
      </c>
      <c r="I17" s="533"/>
      <c r="J17" s="404"/>
      <c r="K17" s="310">
        <f>H17*'DATOS REFERENCIALES'!$C$4</f>
        <v>33863.609669999998</v>
      </c>
      <c r="L17" s="310"/>
      <c r="M17" s="310"/>
      <c r="N17" s="312">
        <f>LOOKUP(C17,'TABLA ANTIG.'!$A$4:$A$39,'TABLA ANTIG.'!$B$4:$B$39)*(K17)</f>
        <v>0</v>
      </c>
      <c r="O17" s="312">
        <f t="shared" si="1"/>
        <v>3386.3609670000001</v>
      </c>
      <c r="P17" s="578">
        <f>IF(H17&gt;1134,'DATOS REFERENCIALES'!$C$8,IF(('DATOS REFERENCIALES'!$C$8/1135*H17)&lt;'DATOS REFERENCIALES'!$F$8,'DATOS REFERENCIALES'!$F$8))</f>
        <v>13323</v>
      </c>
      <c r="Q17" s="316">
        <f>LOOKUP(C17,'TABLA ANTIG.'!$A$4:$A$39,'TABLA ANTIG.'!$B$4:$B$39)*(P17)</f>
        <v>0</v>
      </c>
      <c r="R17" s="312">
        <f t="shared" si="2"/>
        <v>7077.9914504999997</v>
      </c>
      <c r="S17" s="312">
        <f>IF(C17&gt;11,IF(H17&gt;1134,'DATOS REFERENCIALES'!$C$18,IF(('DATOS REFERENCIALES'!$C$18/1135*H17)&lt;'DATOS REFERENCIALES'!$F$18,'DATOS REFERENCIALES'!$F$18,'DATOS REFERENCIALES'!$C$18/1135*H17)),0)</f>
        <v>0</v>
      </c>
      <c r="T17" s="312">
        <f>K17+N17+O17+P17+Q17+R17+S17</f>
        <v>57650.962087499996</v>
      </c>
      <c r="U17" s="312">
        <f t="shared" si="3"/>
        <v>6341.6058296249994</v>
      </c>
      <c r="V17" s="312">
        <f t="shared" si="4"/>
        <v>1729.5288626249999</v>
      </c>
      <c r="W17" s="312">
        <f t="shared" si="4"/>
        <v>1729.5288626249999</v>
      </c>
      <c r="X17" s="312">
        <f t="shared" si="5"/>
        <v>1153.01924175</v>
      </c>
      <c r="Y17" s="312">
        <f t="shared" si="6"/>
        <v>2594.2932939374996</v>
      </c>
      <c r="Z17" s="312">
        <f t="shared" si="7"/>
        <v>13547.976090562501</v>
      </c>
      <c r="AA17" s="315">
        <f t="shared" si="8"/>
        <v>44102.985996937496</v>
      </c>
      <c r="AB17" s="312">
        <f>'DATOS REFERENCIALES'!$C$10</f>
        <v>0</v>
      </c>
      <c r="AC17" s="389">
        <f>IF(C17&lt;12,IF(H17&gt;1134,'DATOS REFERENCIALES'!$C$17,IF(('DATOS REFERENCIALES'!$C$17/1135*H17)&lt;'DATOS REFERENCIALES'!$F$17,'DATOS REFERENCIALES'!$F$17,('DATOS REFERENCIALES'!$C$17/1135*H17))),0)</f>
        <v>16597</v>
      </c>
      <c r="AD17" s="389">
        <f>IF((IF(H17&gt;1134,('DATOS REFERENCIALES'!$C$9-(T17-U17-V17-W17-X17-Y17+AB17+AC17-L17-L17*0.235)),(('DATOS REFERENCIALES'!$C$9/1135)*H17)-(K17+N17+O17+P17+Q17+S17-U17-V17-W17-X17-Y17+AB17+AC17-(L17-L17*0.235))))&lt;0,0,IF(H17&gt;1134,(('DATOS REFERENCIALES'!$C$9)-(T17-U17-V17-W17-X17-Y17+AB17+AC17-(L17-L17*0.235))),(('DATOS REFERENCIALES'!$C$9/1135)*H17)-(K17+N17+O17+P17+Q17+S17-U17-V17-W17-X17-Y17+AB17+AC17-(L17-L17*0.235))))</f>
        <v>2855.0140030624971</v>
      </c>
      <c r="AE17" s="312">
        <f t="shared" si="9"/>
        <v>63554.999999999993</v>
      </c>
      <c r="AF17" s="589">
        <f>'DATOS REFERENCIALES'!$C$13</f>
        <v>5141</v>
      </c>
      <c r="AG17" s="338"/>
      <c r="AH17" s="311"/>
      <c r="AI17" s="317">
        <f>'DATOS REFERENCIALES'!$C$16</f>
        <v>2250</v>
      </c>
      <c r="AJ17" s="311">
        <f>'DATOS REFERENCIALES'!$C$12</f>
        <v>6699</v>
      </c>
      <c r="AK17" s="763">
        <f>+AE17+AE18+AF17+AI17+AJ17</f>
        <v>84445.23611685686</v>
      </c>
      <c r="AL17" s="17"/>
      <c r="AM17" s="17"/>
      <c r="AQ17" s="8"/>
    </row>
    <row r="18" spans="1:43" s="1" customFormat="1" ht="33" customHeight="1" thickBot="1" x14ac:dyDescent="0.3">
      <c r="A18" s="320">
        <v>516</v>
      </c>
      <c r="B18" s="405" t="s">
        <v>47</v>
      </c>
      <c r="C18" s="320">
        <f>IF(C17&gt;0,C17,0)</f>
        <v>0</v>
      </c>
      <c r="D18" s="320"/>
      <c r="E18" s="321"/>
      <c r="F18" s="322"/>
      <c r="G18" s="432"/>
      <c r="H18" s="433"/>
      <c r="I18" s="534">
        <f>H17*'DATOS REFERENCIALES'!$K$4/100</f>
        <v>267.45</v>
      </c>
      <c r="J18" s="324" t="s">
        <v>166</v>
      </c>
      <c r="K18" s="325"/>
      <c r="L18" s="325">
        <f>I18*'DATOS REFERENCIALES'!$C$4</f>
        <v>5079.5414504999999</v>
      </c>
      <c r="M18" s="406">
        <f>IF(J18='DATOS REFERENCIALES'!$C$39,K17*'DATOS REFERENCIALES'!$D$39,IF(J18='DATOS REFERENCIALES'!$C$40,('DATOS REFERENCIALES'!$D$40*K17),IF(J18='DATOS REFERENCIALES'!$C$41,('DATOS REFERENCIALES'!$D$41*K17),0)))</f>
        <v>2031.8165801999999</v>
      </c>
      <c r="N18" s="327">
        <f>LOOKUP(C18,'TABLA ANTIG.'!$A$4:$A$39,'TABLA ANTIG.'!$B$4:$B$39)*(L18+M18)</f>
        <v>0</v>
      </c>
      <c r="O18" s="327">
        <f>(L18+M18)*0.1</f>
        <v>711.13580306999995</v>
      </c>
      <c r="P18" s="325"/>
      <c r="Q18" s="327"/>
      <c r="R18" s="407">
        <f>(L18+M18)*0.15</f>
        <v>1066.7037046049998</v>
      </c>
      <c r="S18" s="327"/>
      <c r="T18" s="327">
        <f>L18+M18+N18+O18+P18+Q18+R18</f>
        <v>8889.1975383749996</v>
      </c>
      <c r="U18" s="330">
        <f t="shared" si="3"/>
        <v>977.81172922124995</v>
      </c>
      <c r="V18" s="327">
        <f t="shared" si="4"/>
        <v>266.67592615125</v>
      </c>
      <c r="W18" s="330">
        <f t="shared" si="4"/>
        <v>266.67592615125</v>
      </c>
      <c r="X18" s="327">
        <f>$T18*2%</f>
        <v>177.78395076749999</v>
      </c>
      <c r="Y18" s="327">
        <f t="shared" si="6"/>
        <v>400.01388922687494</v>
      </c>
      <c r="Z18" s="327">
        <f t="shared" si="7"/>
        <v>2088.961421518125</v>
      </c>
      <c r="AA18" s="331">
        <f t="shared" si="8"/>
        <v>6800.236116856875</v>
      </c>
      <c r="AB18" s="327"/>
      <c r="AC18" s="330"/>
      <c r="AD18" s="327"/>
      <c r="AE18" s="326">
        <f t="shared" si="9"/>
        <v>6800.236116856875</v>
      </c>
      <c r="AF18" s="332"/>
      <c r="AG18" s="344"/>
      <c r="AH18" s="326"/>
      <c r="AI18" s="326"/>
      <c r="AJ18" s="327"/>
      <c r="AK18" s="764"/>
      <c r="AL18" s="17"/>
      <c r="AM18" s="17"/>
      <c r="AQ18" s="8"/>
    </row>
    <row r="19" spans="1:43" s="1" customFormat="1" ht="21.75" customHeight="1" x14ac:dyDescent="0.25">
      <c r="A19" s="245">
        <v>576</v>
      </c>
      <c r="B19" s="420" t="s">
        <v>48</v>
      </c>
      <c r="C19" s="245">
        <v>0</v>
      </c>
      <c r="D19" s="245"/>
      <c r="E19" s="293"/>
      <c r="F19" s="294"/>
      <c r="G19" s="421">
        <v>1545</v>
      </c>
      <c r="H19" s="422">
        <f t="shared" si="0"/>
        <v>1545</v>
      </c>
      <c r="I19" s="535"/>
      <c r="J19" s="423"/>
      <c r="K19" s="247">
        <f>H19*'DATOS REFERENCIALES'!$C$4</f>
        <v>29343.39705</v>
      </c>
      <c r="L19" s="247"/>
      <c r="M19" s="247"/>
      <c r="N19" s="249">
        <f>LOOKUP(C19,'TABLA ANTIG.'!$A$4:$A$39,'TABLA ANTIG.'!$B$4:$B$39)*(K19)</f>
        <v>0</v>
      </c>
      <c r="O19" s="249">
        <f t="shared" si="1"/>
        <v>2934.3397050000003</v>
      </c>
      <c r="P19" s="577">
        <f>IF(H19&gt;1134,'DATOS REFERENCIALES'!$C$8,IF(('DATOS REFERENCIALES'!$C$8/1135*H19)&lt;'DATOS REFERENCIALES'!$F$8,'DATOS REFERENCIALES'!$F$8))</f>
        <v>13323</v>
      </c>
      <c r="Q19" s="251">
        <f>LOOKUP(C19,'TABLA ANTIG.'!$A$4:$A$39,'TABLA ANTIG.'!$B$4:$B$39)*(P19)</f>
        <v>0</v>
      </c>
      <c r="R19" s="249">
        <f t="shared" si="2"/>
        <v>6399.9595574999994</v>
      </c>
      <c r="S19" s="249">
        <f>IF(C19&gt;11,IF(H19&gt;1134,'DATOS REFERENCIALES'!$C$18,IF(('DATOS REFERENCIALES'!$C$18/1135*H19)&lt;'DATOS REFERENCIALES'!$F$18,'DATOS REFERENCIALES'!$F$18,'DATOS REFERENCIALES'!$C$18/1135*H19)),0)</f>
        <v>0</v>
      </c>
      <c r="T19" s="249">
        <f>K19+N19+O19+P19+Q19+R19+S19</f>
        <v>52000.696312499997</v>
      </c>
      <c r="U19" s="249">
        <f t="shared" si="3"/>
        <v>5720.0765943749993</v>
      </c>
      <c r="V19" s="249">
        <f t="shared" si="4"/>
        <v>1560.0208893749998</v>
      </c>
      <c r="W19" s="249">
        <f t="shared" si="4"/>
        <v>1560.0208893749998</v>
      </c>
      <c r="X19" s="249">
        <f t="shared" si="5"/>
        <v>1040.0139262499999</v>
      </c>
      <c r="Y19" s="249">
        <f t="shared" si="6"/>
        <v>2340.0313340624998</v>
      </c>
      <c r="Z19" s="249">
        <f t="shared" si="7"/>
        <v>12220.163633437498</v>
      </c>
      <c r="AA19" s="252">
        <f t="shared" si="8"/>
        <v>39780.532679062497</v>
      </c>
      <c r="AB19" s="249">
        <f>'DATOS REFERENCIALES'!$C$10</f>
        <v>0</v>
      </c>
      <c r="AC19" s="382">
        <f>IF(C19&lt;12,IF(H19&gt;1134,'DATOS REFERENCIALES'!$C$17,IF(('DATOS REFERENCIALES'!$C$17/1135*H19)&lt;'DATOS REFERENCIALES'!$F$17,'DATOS REFERENCIALES'!$F$17,('DATOS REFERENCIALES'!$C$17/1135*H19))),0)</f>
        <v>16597</v>
      </c>
      <c r="AD19" s="382">
        <f>IF((IF(H19&gt;1134,('DATOS REFERENCIALES'!$C$9-(T19-U19-V19-W19-X19-Y19+AB19+AC19-L19-L19*0.235)),(('DATOS REFERENCIALES'!$C$9/1135)*H19)-(K19+N19+O19+P19+Q19+S19-U19-V19-W19-X19-Y19+AB19+AC19-(L19-L19*0.235))))&lt;0,0,IF(H19&gt;1134,(('DATOS REFERENCIALES'!$C$9)-(T19-U19-V19-W19-X19-Y19+AB19+AC19-(L19-L19*0.235))),(('DATOS REFERENCIALES'!$C$9/1135)*H19)-(K19+N19+O19+P19+Q19+S19-U19-V19-W19-X19-Y19+AB19+AC19-(L19-L19*0.235))))</f>
        <v>7177.4673209375105</v>
      </c>
      <c r="AE19" s="249">
        <f t="shared" si="9"/>
        <v>63555.000000000007</v>
      </c>
      <c r="AF19" s="483">
        <f>'DATOS REFERENCIALES'!$C$13</f>
        <v>5141</v>
      </c>
      <c r="AG19" s="366"/>
      <c r="AH19" s="253"/>
      <c r="AI19" s="254">
        <f>'DATOS REFERENCIALES'!$C$16</f>
        <v>2250</v>
      </c>
      <c r="AJ19" s="253">
        <f>'DATOS REFERENCIALES'!$C$12</f>
        <v>6699</v>
      </c>
      <c r="AK19" s="765">
        <f>+AE19+AE20+AF19+AI19+AJ19</f>
        <v>81853.943514359387</v>
      </c>
      <c r="AL19" s="17"/>
      <c r="AM19" s="17"/>
      <c r="AQ19" s="8"/>
    </row>
    <row r="20" spans="1:43" s="1" customFormat="1" ht="21.75" customHeight="1" thickBot="1" x14ac:dyDescent="0.3">
      <c r="A20" s="296">
        <v>576</v>
      </c>
      <c r="B20" s="424" t="s">
        <v>48</v>
      </c>
      <c r="C20" s="257">
        <f>IF(C19&gt;0,C19,0)</f>
        <v>0</v>
      </c>
      <c r="D20" s="296"/>
      <c r="E20" s="297"/>
      <c r="F20" s="298"/>
      <c r="G20" s="425"/>
      <c r="H20" s="426"/>
      <c r="I20" s="529">
        <f>H19*'DATOS REFERENCIALES'!$K$4/100</f>
        <v>231.75</v>
      </c>
      <c r="J20" s="427"/>
      <c r="K20" s="300"/>
      <c r="L20" s="300">
        <f>I20*'DATOS REFERENCIALES'!$C$4</f>
        <v>4401.5095574999996</v>
      </c>
      <c r="M20" s="300"/>
      <c r="N20" s="268">
        <f>LOOKUP(C20,'TABLA ANTIG.'!$A$4:$A$39,'TABLA ANTIG.'!$B$4:$B$39)*(L20+M20)</f>
        <v>0</v>
      </c>
      <c r="O20" s="268">
        <f>(L20+M20)*0.1</f>
        <v>440.15095574999998</v>
      </c>
      <c r="P20" s="300"/>
      <c r="Q20" s="268"/>
      <c r="R20" s="268">
        <f>(L20+M20)*0.15</f>
        <v>660.22643362499991</v>
      </c>
      <c r="S20" s="301"/>
      <c r="T20" s="268">
        <f>L20+M20+N20+O20+P20+Q20+R20</f>
        <v>5501.8869468749999</v>
      </c>
      <c r="U20" s="301">
        <f t="shared" si="3"/>
        <v>605.20756415624999</v>
      </c>
      <c r="V20" s="268">
        <f t="shared" si="4"/>
        <v>165.05660840624998</v>
      </c>
      <c r="W20" s="301">
        <f t="shared" si="4"/>
        <v>165.05660840624998</v>
      </c>
      <c r="X20" s="268">
        <f>$T20*2%</f>
        <v>110.0377389375</v>
      </c>
      <c r="Y20" s="268">
        <f t="shared" si="6"/>
        <v>247.58491260937498</v>
      </c>
      <c r="Z20" s="268">
        <f t="shared" si="7"/>
        <v>1292.9434325156249</v>
      </c>
      <c r="AA20" s="302">
        <f t="shared" si="8"/>
        <v>4208.9435143593746</v>
      </c>
      <c r="AB20" s="268"/>
      <c r="AC20" s="494"/>
      <c r="AD20" s="268"/>
      <c r="AE20" s="266">
        <f t="shared" si="9"/>
        <v>4208.9435143593746</v>
      </c>
      <c r="AF20" s="481"/>
      <c r="AG20" s="372"/>
      <c r="AH20" s="266"/>
      <c r="AI20" s="266"/>
      <c r="AJ20" s="268"/>
      <c r="AK20" s="766"/>
      <c r="AL20" s="17"/>
      <c r="AM20" s="17"/>
      <c r="AQ20" s="8"/>
    </row>
    <row r="21" spans="1:43" s="1" customFormat="1" ht="21.75" customHeight="1" thickBot="1" x14ac:dyDescent="0.3">
      <c r="A21" s="622">
        <v>539</v>
      </c>
      <c r="B21" s="621" t="s">
        <v>55</v>
      </c>
      <c r="C21" s="622">
        <v>0</v>
      </c>
      <c r="D21" s="622"/>
      <c r="E21" s="623"/>
      <c r="F21" s="624"/>
      <c r="G21" s="625">
        <v>1120</v>
      </c>
      <c r="H21" s="626">
        <v>1135</v>
      </c>
      <c r="I21" s="627"/>
      <c r="J21" s="628"/>
      <c r="K21" s="629">
        <f>H21*'DATOS REFERENCIALES'!$C$4</f>
        <v>21556.476149999999</v>
      </c>
      <c r="L21" s="629"/>
      <c r="M21" s="629"/>
      <c r="N21" s="105">
        <f>LOOKUP(C21,'TABLA ANTIG.'!$A$4:$A$39,'TABLA ANTIG.'!$B$4:$B$39)*(K21)</f>
        <v>0</v>
      </c>
      <c r="O21" s="630">
        <f t="shared" si="1"/>
        <v>2155.6476149999999</v>
      </c>
      <c r="P21" s="631">
        <f>IF(H21&gt;1134,'DATOS REFERENCIALES'!$C$8,IF(('DATOS REFERENCIALES'!$C$8/1135*H21)&lt;'DATOS REFERENCIALES'!$F$8,'DATOS REFERENCIALES'!$F$8))</f>
        <v>13323</v>
      </c>
      <c r="Q21" s="632">
        <f>LOOKUP(C21,'TABLA ANTIG.'!$A$4:$A$39,'TABLA ANTIG.'!$B$4:$B$39)*(P21)</f>
        <v>0</v>
      </c>
      <c r="R21" s="630">
        <f t="shared" si="2"/>
        <v>5231.9214225000005</v>
      </c>
      <c r="S21" s="586">
        <f>IF(C21&gt;11,IF(H21&gt;1134,'DATOS REFERENCIALES'!$C$18,'DATOS REFERENCIALES'!$C$18/1135*H21),0)</f>
        <v>0</v>
      </c>
      <c r="T21" s="630">
        <f>K21+N21+O21+P21+Q21+R21+S21</f>
        <v>42267.0451875</v>
      </c>
      <c r="U21" s="105">
        <f t="shared" si="3"/>
        <v>4649.3749706250001</v>
      </c>
      <c r="V21" s="105">
        <f t="shared" si="4"/>
        <v>1268.0113556249999</v>
      </c>
      <c r="W21" s="105">
        <f t="shared" si="4"/>
        <v>1268.0113556249999</v>
      </c>
      <c r="X21" s="105">
        <f t="shared" si="5"/>
        <v>845.34090375000005</v>
      </c>
      <c r="Y21" s="105">
        <f t="shared" si="6"/>
        <v>1902.0170334375</v>
      </c>
      <c r="Z21" s="630">
        <f t="shared" si="7"/>
        <v>9932.7556190625</v>
      </c>
      <c r="AA21" s="633">
        <f t="shared" si="8"/>
        <v>32334.2895684375</v>
      </c>
      <c r="AB21" s="105">
        <f>'DATOS REFERENCIALES'!$C$10</f>
        <v>0</v>
      </c>
      <c r="AC21" s="105">
        <f>IF(C21&lt;12,IF(H21&gt;1134,'DATOS REFERENCIALES'!$C$17,IF(('DATOS REFERENCIALES'!$C$17/1135*H21)&lt;'DATOS REFERENCIALES'!$F$17,'DATOS REFERENCIALES'!$F$17,('DATOS REFERENCIALES'!$C$17/1135*H21))),0)</f>
        <v>16597</v>
      </c>
      <c r="AD21" s="105">
        <f>IF((IF(H21&gt;1134,('DATOS REFERENCIALES'!$C$9-(T21-U21-V21-W21-X21-Y21+AB21+AC21-L21-L21*0.235)),(('DATOS REFERENCIALES'!$C$9/1135)*H21)-(K21+N21+O21+P21+Q21+S21-U21-V21-W21-X21-Y21+AB21+AC21-(L21-L21*0.235))))&lt;0,0,IF(H21&gt;1134,(('DATOS REFERENCIALES'!$C$9)-(T21-U21-V21-W21-X21-Y21+AB21+AC21-(L21-L21*0.235))),(('DATOS REFERENCIALES'!$C$9/1135)*H21)-(K21+N21+O21+P21+Q21+S21-U21-V21-W21-X21-Y21+AB21+AC21-(L21-L21*0.235))))</f>
        <v>14623.710431562504</v>
      </c>
      <c r="AE21" s="105">
        <f t="shared" si="9"/>
        <v>63555</v>
      </c>
      <c r="AF21" s="634">
        <f>'DATOS REFERENCIALES'!$C$13</f>
        <v>5141</v>
      </c>
      <c r="AG21" s="242"/>
      <c r="AH21" s="635"/>
      <c r="AI21" s="634">
        <f>'DATOS REFERENCIALES'!$C$16</f>
        <v>2250</v>
      </c>
      <c r="AJ21" s="635">
        <f>'DATOS REFERENCIALES'!$C$12</f>
        <v>6699</v>
      </c>
      <c r="AK21" s="105">
        <f>+AE21+AF21+AI21+AJ21</f>
        <v>77645</v>
      </c>
      <c r="AL21" s="17"/>
      <c r="AM21" s="17"/>
      <c r="AQ21" s="8"/>
    </row>
    <row r="22" spans="1:43" s="1" customFormat="1" ht="21.75" customHeight="1" x14ac:dyDescent="0.25">
      <c r="A22" s="609">
        <v>558</v>
      </c>
      <c r="B22" s="608" t="s">
        <v>4</v>
      </c>
      <c r="C22" s="609">
        <v>0</v>
      </c>
      <c r="D22" s="609"/>
      <c r="E22" s="610"/>
      <c r="F22" s="611"/>
      <c r="G22" s="612">
        <v>1307</v>
      </c>
      <c r="H22" s="613">
        <f t="shared" si="0"/>
        <v>1307</v>
      </c>
      <c r="I22" s="614"/>
      <c r="J22" s="615"/>
      <c r="K22" s="616">
        <f>H22*'DATOS REFERENCIALES'!$C$4</f>
        <v>24823.184430000001</v>
      </c>
      <c r="L22" s="616"/>
      <c r="M22" s="616"/>
      <c r="N22" s="393">
        <f>LOOKUP(C22,'TABLA ANTIG.'!$A$4:$A$39,'TABLA ANTIG.'!$B$4:$B$39)*(K22)</f>
        <v>0</v>
      </c>
      <c r="O22" s="393">
        <f t="shared" si="1"/>
        <v>2482.3184430000001</v>
      </c>
      <c r="P22" s="579">
        <f>IF(H22&gt;1134,'DATOS REFERENCIALES'!$C$8,IF(('DATOS REFERENCIALES'!$C$8/1135*H22)&lt;'DATOS REFERENCIALES'!$F$8,'DATOS REFERENCIALES'!$F$8))</f>
        <v>13323</v>
      </c>
      <c r="Q22" s="617">
        <f>LOOKUP(C22,'TABLA ANTIG.'!$A$4:$A$39,'TABLA ANTIG.'!$B$4:$B$39)*(P22)</f>
        <v>0</v>
      </c>
      <c r="R22" s="393">
        <f t="shared" si="2"/>
        <v>5721.9276645</v>
      </c>
      <c r="S22" s="393">
        <f>IF(C22&gt;11,IF(H22&gt;1134,'DATOS REFERENCIALES'!$C$18,IF(('DATOS REFERENCIALES'!$C$18/1135*H22)&lt;'DATOS REFERENCIALES'!$F$18,'DATOS REFERENCIALES'!$F$18,'DATOS REFERENCIALES'!$C$18/1135*H22)),0)</f>
        <v>0</v>
      </c>
      <c r="T22" s="393">
        <f>K22+N22+O22+P22+Q22+R22+S22</f>
        <v>46350.430537500004</v>
      </c>
      <c r="U22" s="393">
        <f t="shared" si="3"/>
        <v>5098.5473591250002</v>
      </c>
      <c r="V22" s="393">
        <f t="shared" si="4"/>
        <v>1390.5129161250002</v>
      </c>
      <c r="W22" s="393">
        <f t="shared" si="4"/>
        <v>1390.5129161250002</v>
      </c>
      <c r="X22" s="393">
        <f t="shared" si="5"/>
        <v>927.00861075000012</v>
      </c>
      <c r="Y22" s="393">
        <f t="shared" si="6"/>
        <v>2085.7693741875</v>
      </c>
      <c r="Z22" s="393">
        <f t="shared" si="7"/>
        <v>10892.351176312503</v>
      </c>
      <c r="AA22" s="541">
        <f t="shared" si="8"/>
        <v>35458.079361187498</v>
      </c>
      <c r="AB22" s="393">
        <f>'DATOS REFERENCIALES'!$C$10</f>
        <v>0</v>
      </c>
      <c r="AC22" s="393">
        <f>IF(C22&lt;12,IF(H22&gt;1134,'DATOS REFERENCIALES'!$C$17,IF(('DATOS REFERENCIALES'!$C$17/1135*H22)&lt;'DATOS REFERENCIALES'!$F$17,'DATOS REFERENCIALES'!$F$17,('DATOS REFERENCIALES'!$C$17/1135*H22))),0)</f>
        <v>16597</v>
      </c>
      <c r="AD22" s="393">
        <f>IF((IF(H22&gt;1134,('DATOS REFERENCIALES'!$C$9-(T22-U22-V22-W22-X22-Y22+AB22+AC22-L22-L22*0.235)),(('DATOS REFERENCIALES'!$C$9/1135)*H22)-(K22+N22+O22+P22+Q22+S22-U22-V22-W22-X22-Y22+AB22+AC22-(L22-L22*0.235))))&lt;0,0,IF(H22&gt;1134,(('DATOS REFERENCIALES'!$C$9)-(T22-U22-V22-W22-X22-Y22+AB22+AC22-(L22-L22*0.235))),(('DATOS REFERENCIALES'!$C$9/1135)*H22)-(K22+N22+O22+P22+Q22+S22-U22-V22-W22-X22-Y22+AB22+AC22-(L22-L22*0.235))))</f>
        <v>11499.920638812495</v>
      </c>
      <c r="AE22" s="393">
        <f t="shared" si="9"/>
        <v>63554.999999999993</v>
      </c>
      <c r="AF22" s="618">
        <f>'DATOS REFERENCIALES'!$C$13</f>
        <v>5141</v>
      </c>
      <c r="AG22" s="619"/>
      <c r="AH22" s="620"/>
      <c r="AI22" s="618">
        <f>'DATOS REFERENCIALES'!$C$16</f>
        <v>2250</v>
      </c>
      <c r="AJ22" s="620">
        <f>'DATOS REFERENCIALES'!$C$12</f>
        <v>6699</v>
      </c>
      <c r="AK22" s="792">
        <f>+AE22+AE23+AF22+AI22+AJ22</f>
        <v>81205.575516678116</v>
      </c>
      <c r="AL22" s="20"/>
      <c r="AM22" s="17"/>
      <c r="AQ22" s="8"/>
    </row>
    <row r="23" spans="1:43" s="1" customFormat="1" ht="21.75" customHeight="1" thickBot="1" x14ac:dyDescent="0.3">
      <c r="A23" s="282">
        <v>558</v>
      </c>
      <c r="B23" s="415" t="s">
        <v>4</v>
      </c>
      <c r="C23" s="282">
        <f>IF(C22&gt;0,C22,0)</f>
        <v>0</v>
      </c>
      <c r="D23" s="282"/>
      <c r="E23" s="353"/>
      <c r="F23" s="354"/>
      <c r="G23" s="416"/>
      <c r="H23" s="417"/>
      <c r="I23" s="525">
        <f>H22*'DATOS REFERENCIALES'!$K$4/100</f>
        <v>196.05</v>
      </c>
      <c r="J23" s="418"/>
      <c r="K23" s="284"/>
      <c r="L23" s="284">
        <f>I23*'DATOS REFERENCIALES'!$C$4</f>
        <v>3723.4776645000002</v>
      </c>
      <c r="M23" s="284"/>
      <c r="N23" s="288">
        <f>LOOKUP(C23,'TABLA ANTIG.'!$A$4:$A$39,'TABLA ANTIG.'!$B$4:$B$39)*(L23+M23)</f>
        <v>0</v>
      </c>
      <c r="O23" s="288">
        <f>(L23+M23)*0.1</f>
        <v>372.34776645000005</v>
      </c>
      <c r="P23" s="590"/>
      <c r="Q23" s="288"/>
      <c r="R23" s="288">
        <f>(L23+M23)*0.15</f>
        <v>558.52164967500005</v>
      </c>
      <c r="S23" s="505"/>
      <c r="T23" s="288">
        <f>L23+M23+N23+O23+P23+Q23+R23</f>
        <v>4654.3470806250007</v>
      </c>
      <c r="U23" s="289">
        <f t="shared" si="3"/>
        <v>511.97817886875009</v>
      </c>
      <c r="V23" s="288">
        <f t="shared" si="4"/>
        <v>139.63041241875001</v>
      </c>
      <c r="W23" s="289">
        <f t="shared" si="4"/>
        <v>139.63041241875001</v>
      </c>
      <c r="X23" s="288">
        <f>$T23*2%</f>
        <v>93.086941612500013</v>
      </c>
      <c r="Y23" s="288">
        <f t="shared" si="6"/>
        <v>209.44561862812503</v>
      </c>
      <c r="Z23" s="288">
        <f t="shared" si="7"/>
        <v>1093.7715639468752</v>
      </c>
      <c r="AA23" s="291">
        <f t="shared" si="8"/>
        <v>3560.5755166781255</v>
      </c>
      <c r="AB23" s="288"/>
      <c r="AC23" s="636"/>
      <c r="AD23" s="288"/>
      <c r="AE23" s="290">
        <f t="shared" si="9"/>
        <v>3560.5755166781255</v>
      </c>
      <c r="AF23" s="292"/>
      <c r="AG23" s="358"/>
      <c r="AH23" s="290"/>
      <c r="AI23" s="290"/>
      <c r="AJ23" s="288"/>
      <c r="AK23" s="762"/>
      <c r="AL23" s="17"/>
      <c r="AM23" s="17"/>
      <c r="AQ23" s="8"/>
    </row>
    <row r="24" spans="1:43" s="1" customFormat="1" ht="21.75" customHeight="1" x14ac:dyDescent="0.25">
      <c r="A24" s="554">
        <v>540</v>
      </c>
      <c r="B24" s="637" t="s">
        <v>11</v>
      </c>
      <c r="C24" s="638">
        <v>0</v>
      </c>
      <c r="D24" s="35"/>
      <c r="E24" s="639"/>
      <c r="F24" s="640"/>
      <c r="G24" s="60">
        <v>1120</v>
      </c>
      <c r="H24" s="641">
        <v>1135</v>
      </c>
      <c r="I24" s="642"/>
      <c r="J24" s="49"/>
      <c r="K24" s="555">
        <f>H24*'DATOS REFERENCIALES'!$C$4</f>
        <v>21556.476149999999</v>
      </c>
      <c r="L24" s="555"/>
      <c r="M24" s="555"/>
      <c r="N24" s="77">
        <f>LOOKUP(C24,'TABLA ANTIG.'!$A$4:$A$39,'TABLA ANTIG.'!$B$4:$B$39)*(K24)</f>
        <v>0</v>
      </c>
      <c r="O24" s="556">
        <f t="shared" si="1"/>
        <v>2155.6476149999999</v>
      </c>
      <c r="P24" s="592">
        <f>IF(H24&gt;1134,'DATOS REFERENCIALES'!$C$8,IF(('DATOS REFERENCIALES'!$C$8/1135*H24)&lt;'DATOS REFERENCIALES'!$F$8,'DATOS REFERENCIALES'!$F$8))</f>
        <v>13323</v>
      </c>
      <c r="Q24" s="549">
        <f>LOOKUP(C24,'TABLA ANTIG.'!$A$4:$A$39,'TABLA ANTIG.'!$B$4:$B$39)*(P24)</f>
        <v>0</v>
      </c>
      <c r="R24" s="556">
        <f t="shared" si="2"/>
        <v>5231.9214225000005</v>
      </c>
      <c r="S24" s="497">
        <f>IF(C24&gt;11,IF(H24&gt;1134,'DATOS REFERENCIALES'!$C$18,IF(('DATOS REFERENCIALES'!$C$18/1135*H24)&lt;'DATOS REFERENCIALES'!$F$18,'DATOS REFERENCIALES'!$F$18,'DATOS REFERENCIALES'!$C$18/1135*H24)),0)</f>
        <v>0</v>
      </c>
      <c r="T24" s="503">
        <f t="shared" ref="T24:T42" si="10">K24+N24+O24+P24+Q24+R24+S24</f>
        <v>42267.0451875</v>
      </c>
      <c r="U24" s="77">
        <f t="shared" si="3"/>
        <v>4649.3749706250001</v>
      </c>
      <c r="V24" s="77">
        <f t="shared" si="4"/>
        <v>1268.0113556249999</v>
      </c>
      <c r="W24" s="77">
        <f t="shared" si="4"/>
        <v>1268.0113556249999</v>
      </c>
      <c r="X24" s="77">
        <f t="shared" si="5"/>
        <v>845.34090375000005</v>
      </c>
      <c r="Y24" s="77">
        <f t="shared" si="6"/>
        <v>1902.0170334375</v>
      </c>
      <c r="Z24" s="495">
        <f t="shared" si="7"/>
        <v>9932.7556190625</v>
      </c>
      <c r="AA24" s="507">
        <f t="shared" si="8"/>
        <v>32334.2895684375</v>
      </c>
      <c r="AB24" s="507">
        <f>'DATOS REFERENCIALES'!$C$10</f>
        <v>0</v>
      </c>
      <c r="AC24" s="77">
        <f>IF(C24&lt;12,IF(H24&gt;1134,'DATOS REFERENCIALES'!$C$17,IF(('DATOS REFERENCIALES'!$C$17/1135*H24)&lt;'DATOS REFERENCIALES'!$F$17,'DATOS REFERENCIALES'!$F$17,('DATOS REFERENCIALES'!$C$17/1135*H24))),0)</f>
        <v>16597</v>
      </c>
      <c r="AD24" s="549">
        <f>IF((IF(H24&gt;1134,('DATOS REFERENCIALES'!$C$9-(T24-U24-V24-W24-X24-Y24+AB24+AC24-L24-L24*0.235)),(('DATOS REFERENCIALES'!$C$9/1135)*H24)-(K24+N24+O24+P24+Q24+S24-U24-V24-W24-X24-Y24+AB24+AC24-(L24-L24*0.235))))&lt;0,0,IF(H24&gt;1134,(('DATOS REFERENCIALES'!$C$9)-(T24-U24-V24-W24-X24-Y24+AB24+AC24-(L24-L24*0.235))),(('DATOS REFERENCIALES'!$C$9/1135)*H24)-(K24+N24+O24+P24+Q24+S24-U24-V24-W24-X24-Y24+AB24+AC24-(L24-L24*0.235))))</f>
        <v>14623.710431562504</v>
      </c>
      <c r="AE24" s="595">
        <f t="shared" si="9"/>
        <v>63555</v>
      </c>
      <c r="AF24" s="509">
        <f>'DATOS REFERENCIALES'!$C$13</f>
        <v>5141</v>
      </c>
      <c r="AG24" s="645"/>
      <c r="AH24" s="648"/>
      <c r="AI24" s="509">
        <f>'DATOS REFERENCIALES'!$C$16</f>
        <v>2250</v>
      </c>
      <c r="AJ24" s="77">
        <f>'DATOS REFERENCIALES'!$C$12</f>
        <v>6699</v>
      </c>
      <c r="AK24" s="549">
        <f>+AE24+AF24+AI24+AJ24</f>
        <v>77645</v>
      </c>
      <c r="AL24" s="17"/>
      <c r="AM24" s="17"/>
      <c r="AQ24" s="8"/>
    </row>
    <row r="25" spans="1:43" s="1" customFormat="1" ht="21.75" customHeight="1" x14ac:dyDescent="0.25">
      <c r="A25" s="34">
        <v>541</v>
      </c>
      <c r="B25" s="215" t="s">
        <v>12</v>
      </c>
      <c r="C25" s="33">
        <v>0</v>
      </c>
      <c r="D25" s="36"/>
      <c r="E25" s="172"/>
      <c r="F25" s="55"/>
      <c r="G25" s="62">
        <v>1120</v>
      </c>
      <c r="H25" s="510">
        <v>1135</v>
      </c>
      <c r="I25" s="47"/>
      <c r="J25" s="47"/>
      <c r="K25" s="88">
        <f>H25*'DATOS REFERENCIALES'!$C$4</f>
        <v>21556.476149999999</v>
      </c>
      <c r="L25" s="88"/>
      <c r="M25" s="88"/>
      <c r="N25" s="78">
        <f>LOOKUP(C25,'TABLA ANTIG.'!$A$4:$A$39,'TABLA ANTIG.'!$B$4:$B$39)*(K25)</f>
        <v>0</v>
      </c>
      <c r="O25" s="97">
        <f t="shared" si="1"/>
        <v>2155.6476149999999</v>
      </c>
      <c r="P25" s="562">
        <f>IF(H25&gt;1134,'DATOS REFERENCIALES'!$C$8,IF(('DATOS REFERENCIALES'!$C$8/1135*H25)&lt;'DATOS REFERENCIALES'!$F$8,'DATOS REFERENCIALES'!$F$8))</f>
        <v>13323</v>
      </c>
      <c r="Q25" s="127">
        <f>LOOKUP(C25,'TABLA ANTIG.'!$A$4:$A$39,'TABLA ANTIG.'!$B$4:$B$39)*(P25)</f>
        <v>0</v>
      </c>
      <c r="R25" s="97">
        <f t="shared" si="2"/>
        <v>5231.9214225000005</v>
      </c>
      <c r="S25" s="499">
        <f>IF(C25&gt;11,IF(H25&gt;1134,'DATOS REFERENCIALES'!$C$18,IF(('DATOS REFERENCIALES'!$C$18/1135*H25)&lt;'DATOS REFERENCIALES'!$F$18,'DATOS REFERENCIALES'!$F$18,'DATOS REFERENCIALES'!$C$18/1135*H25)),0)</f>
        <v>0</v>
      </c>
      <c r="T25" s="155">
        <f t="shared" si="10"/>
        <v>42267.0451875</v>
      </c>
      <c r="U25" s="78">
        <f t="shared" si="3"/>
        <v>4649.3749706250001</v>
      </c>
      <c r="V25" s="78">
        <f t="shared" si="4"/>
        <v>1268.0113556249999</v>
      </c>
      <c r="W25" s="78">
        <f t="shared" si="4"/>
        <v>1268.0113556249999</v>
      </c>
      <c r="X25" s="78">
        <f t="shared" si="5"/>
        <v>845.34090375000005</v>
      </c>
      <c r="Y25" s="78">
        <f t="shared" si="6"/>
        <v>1902.0170334375</v>
      </c>
      <c r="Z25" s="27">
        <f t="shared" si="7"/>
        <v>9932.7556190625</v>
      </c>
      <c r="AA25" s="144">
        <f t="shared" si="8"/>
        <v>32334.2895684375</v>
      </c>
      <c r="AB25" s="144">
        <f>'DATOS REFERENCIALES'!$C$10</f>
        <v>0</v>
      </c>
      <c r="AC25" s="78">
        <f>IF(C25&lt;12,IF(H25&gt;1134,'DATOS REFERENCIALES'!$C$17,IF(('DATOS REFERENCIALES'!$C$17/1135*H25)&lt;'DATOS REFERENCIALES'!$F$17,'DATOS REFERENCIALES'!$F$17,('DATOS REFERENCIALES'!$C$17/1135*H25))),0)</f>
        <v>16597</v>
      </c>
      <c r="AD25" s="127">
        <f>IF((IF(H25&gt;1134,('DATOS REFERENCIALES'!$C$9-(T25-U25-V25-W25-X25-Y25+AB25+AC25-L25-L25*0.235)),(('DATOS REFERENCIALES'!$C$9/1135)*H25)-(K25+N25+O25+P25+Q25+S25-U25-V25-W25-X25-Y25+AB25+AC25-(L25-L25*0.235))))&lt;0,0,IF(H25&gt;1134,(('DATOS REFERENCIALES'!$C$9)-(T25-U25-V25-W25-X25-Y25+AB25+AC25-(L25-L25*0.235))),(('DATOS REFERENCIALES'!$C$9/1135)*H25)-(K25+N25+O25+P25+Q25+S25-U25-V25-W25-X25-Y25+AB25+AC25-(L25-L25*0.235))))</f>
        <v>14623.710431562504</v>
      </c>
      <c r="AE25" s="148">
        <f t="shared" si="9"/>
        <v>63555</v>
      </c>
      <c r="AF25" s="90">
        <f>'DATOS REFERENCIALES'!$C$13</f>
        <v>5141</v>
      </c>
      <c r="AG25" s="646"/>
      <c r="AH25" s="649"/>
      <c r="AI25" s="90">
        <f>'DATOS REFERENCIALES'!$C$16</f>
        <v>2250</v>
      </c>
      <c r="AJ25" s="78">
        <f>'DATOS REFERENCIALES'!$C$12</f>
        <v>6699</v>
      </c>
      <c r="AK25" s="127">
        <f t="shared" ref="AK25:AK42" si="11">+AE25+AF25+AI25+AJ25</f>
        <v>77645</v>
      </c>
      <c r="AL25" s="17"/>
      <c r="AM25" s="17"/>
      <c r="AQ25" s="8"/>
    </row>
    <row r="26" spans="1:43" s="1" customFormat="1" ht="21.75" customHeight="1" x14ac:dyDescent="0.25">
      <c r="A26" s="34">
        <v>850</v>
      </c>
      <c r="B26" s="215" t="s">
        <v>13</v>
      </c>
      <c r="C26" s="33">
        <v>0</v>
      </c>
      <c r="D26" s="36"/>
      <c r="E26" s="172"/>
      <c r="F26" s="55"/>
      <c r="G26" s="62">
        <v>1120</v>
      </c>
      <c r="H26" s="510">
        <v>1135</v>
      </c>
      <c r="I26" s="47"/>
      <c r="J26" s="47"/>
      <c r="K26" s="88">
        <f>H26*'DATOS REFERENCIALES'!$C$4</f>
        <v>21556.476149999999</v>
      </c>
      <c r="L26" s="88"/>
      <c r="M26" s="88"/>
      <c r="N26" s="78">
        <f>LOOKUP(C26,'TABLA ANTIG.'!$A$4:$A$39,'TABLA ANTIG.'!$B$4:$B$39)*(K26)</f>
        <v>0</v>
      </c>
      <c r="O26" s="97">
        <f t="shared" si="1"/>
        <v>2155.6476149999999</v>
      </c>
      <c r="P26" s="562">
        <f>IF(H26&gt;1134,'DATOS REFERENCIALES'!$C$8,IF(('DATOS REFERENCIALES'!$C$8/1135*H26)&lt;'DATOS REFERENCIALES'!$F$8,'DATOS REFERENCIALES'!$F$8))</f>
        <v>13323</v>
      </c>
      <c r="Q26" s="127">
        <f>LOOKUP(C26,'TABLA ANTIG.'!$A$4:$A$39,'TABLA ANTIG.'!$B$4:$B$39)*(P26)</f>
        <v>0</v>
      </c>
      <c r="R26" s="97">
        <f t="shared" si="2"/>
        <v>5231.9214225000005</v>
      </c>
      <c r="S26" s="499">
        <f>IF(C26&gt;11,IF(H26&gt;1134,'DATOS REFERENCIALES'!$C$18,IF(('DATOS REFERENCIALES'!$C$18/1135*H26)&lt;'DATOS REFERENCIALES'!$F$18,'DATOS REFERENCIALES'!$F$18,'DATOS REFERENCIALES'!$C$18/1135*H26)),0)</f>
        <v>0</v>
      </c>
      <c r="T26" s="155">
        <f t="shared" si="10"/>
        <v>42267.0451875</v>
      </c>
      <c r="U26" s="78">
        <f t="shared" si="3"/>
        <v>4649.3749706250001</v>
      </c>
      <c r="V26" s="78">
        <f t="shared" si="4"/>
        <v>1268.0113556249999</v>
      </c>
      <c r="W26" s="78">
        <f t="shared" si="4"/>
        <v>1268.0113556249999</v>
      </c>
      <c r="X26" s="78">
        <f t="shared" si="5"/>
        <v>845.34090375000005</v>
      </c>
      <c r="Y26" s="78">
        <f t="shared" si="6"/>
        <v>1902.0170334375</v>
      </c>
      <c r="Z26" s="27">
        <f t="shared" si="7"/>
        <v>9932.7556190625</v>
      </c>
      <c r="AA26" s="144">
        <f t="shared" si="8"/>
        <v>32334.2895684375</v>
      </c>
      <c r="AB26" s="144">
        <f>'DATOS REFERENCIALES'!$C$10</f>
        <v>0</v>
      </c>
      <c r="AC26" s="78">
        <f>IF(C26&lt;12,IF(H26&gt;1134,'DATOS REFERENCIALES'!$C$17,IF(('DATOS REFERENCIALES'!$C$17/1135*H26)&lt;'DATOS REFERENCIALES'!$F$17,'DATOS REFERENCIALES'!$F$17,('DATOS REFERENCIALES'!$C$17/1135*H26))),0)</f>
        <v>16597</v>
      </c>
      <c r="AD26" s="127">
        <f>IF((IF(H26&gt;1134,('DATOS REFERENCIALES'!$C$9-(T26-U26-V26-W26-X26-Y26+AB26+AC26-L26-L26*0.235)),(('DATOS REFERENCIALES'!$C$9/1135)*H26)-(K26+N26+O26+P26+Q26+S26-U26-V26-W26-X26-Y26+AB26+AC26-(L26-L26*0.235))))&lt;0,0,IF(H26&gt;1134,(('DATOS REFERENCIALES'!$C$9)-(T26-U26-V26-W26-X26-Y26+AB26+AC26-(L26-L26*0.235))),(('DATOS REFERENCIALES'!$C$9/1135)*H26)-(K26+N26+O26+P26+Q26+S26-U26-V26-W26-X26-Y26+AB26+AC26-(L26-L26*0.235))))</f>
        <v>14623.710431562504</v>
      </c>
      <c r="AE26" s="148">
        <f t="shared" si="9"/>
        <v>63555</v>
      </c>
      <c r="AF26" s="90">
        <f>'DATOS REFERENCIALES'!$C$13</f>
        <v>5141</v>
      </c>
      <c r="AG26" s="646"/>
      <c r="AH26" s="649"/>
      <c r="AI26" s="90">
        <f>'DATOS REFERENCIALES'!$C$16</f>
        <v>2250</v>
      </c>
      <c r="AJ26" s="78">
        <f>'DATOS REFERENCIALES'!$C$12</f>
        <v>6699</v>
      </c>
      <c r="AK26" s="127">
        <f t="shared" si="11"/>
        <v>77645</v>
      </c>
      <c r="AL26" s="17"/>
      <c r="AM26" s="17"/>
      <c r="AQ26" s="8"/>
    </row>
    <row r="27" spans="1:43" s="1" customFormat="1" ht="21.75" customHeight="1" x14ac:dyDescent="0.25">
      <c r="A27" s="34">
        <v>852</v>
      </c>
      <c r="B27" s="215" t="s">
        <v>73</v>
      </c>
      <c r="C27" s="33">
        <v>0</v>
      </c>
      <c r="D27" s="36"/>
      <c r="E27" s="172"/>
      <c r="F27" s="55"/>
      <c r="G27" s="62">
        <v>1120</v>
      </c>
      <c r="H27" s="510">
        <v>1135</v>
      </c>
      <c r="I27" s="47"/>
      <c r="J27" s="47"/>
      <c r="K27" s="88">
        <f>H27*'DATOS REFERENCIALES'!$C$4</f>
        <v>21556.476149999999</v>
      </c>
      <c r="L27" s="88"/>
      <c r="M27" s="88"/>
      <c r="N27" s="78">
        <f>LOOKUP(C27,'TABLA ANTIG.'!$A$4:$A$39,'TABLA ANTIG.'!$B$4:$B$39)*(K27)</f>
        <v>0</v>
      </c>
      <c r="O27" s="97">
        <f t="shared" si="1"/>
        <v>2155.6476149999999</v>
      </c>
      <c r="P27" s="562">
        <f>IF(H27&gt;1134,'DATOS REFERENCIALES'!$C$8,IF(('DATOS REFERENCIALES'!$C$8/1135*H27)&lt;'DATOS REFERENCIALES'!$F$8,'DATOS REFERENCIALES'!$F$8))</f>
        <v>13323</v>
      </c>
      <c r="Q27" s="127">
        <f>LOOKUP(C27,'TABLA ANTIG.'!$A$4:$A$39,'TABLA ANTIG.'!$B$4:$B$39)*(P27)</f>
        <v>0</v>
      </c>
      <c r="R27" s="97">
        <f t="shared" si="2"/>
        <v>5231.9214225000005</v>
      </c>
      <c r="S27" s="499">
        <f>IF(C27&gt;11,IF(H27&gt;1134,'DATOS REFERENCIALES'!$C$18,IF(('DATOS REFERENCIALES'!$C$18/1135*H27)&lt;'DATOS REFERENCIALES'!$F$18,'DATOS REFERENCIALES'!$F$18,'DATOS REFERENCIALES'!$C$18/1135*H27)),0)</f>
        <v>0</v>
      </c>
      <c r="T27" s="155">
        <f t="shared" si="10"/>
        <v>42267.0451875</v>
      </c>
      <c r="U27" s="78">
        <f t="shared" si="3"/>
        <v>4649.3749706250001</v>
      </c>
      <c r="V27" s="78">
        <f t="shared" si="4"/>
        <v>1268.0113556249999</v>
      </c>
      <c r="W27" s="78">
        <f t="shared" si="4"/>
        <v>1268.0113556249999</v>
      </c>
      <c r="X27" s="78">
        <f t="shared" si="5"/>
        <v>845.34090375000005</v>
      </c>
      <c r="Y27" s="78">
        <f t="shared" si="6"/>
        <v>1902.0170334375</v>
      </c>
      <c r="Z27" s="27">
        <f t="shared" si="7"/>
        <v>9932.7556190625</v>
      </c>
      <c r="AA27" s="144">
        <f t="shared" si="8"/>
        <v>32334.2895684375</v>
      </c>
      <c r="AB27" s="144">
        <f>'DATOS REFERENCIALES'!$C$10</f>
        <v>0</v>
      </c>
      <c r="AC27" s="78">
        <f>IF(C27&lt;12,IF(H27&gt;1134,'DATOS REFERENCIALES'!$C$17,IF(('DATOS REFERENCIALES'!$C$17/1135*H27)&lt;'DATOS REFERENCIALES'!$F$17,'DATOS REFERENCIALES'!$F$17,('DATOS REFERENCIALES'!$C$17/1135*H27))),0)</f>
        <v>16597</v>
      </c>
      <c r="AD27" s="127">
        <f>IF((IF(H27&gt;1134,('DATOS REFERENCIALES'!$C$9-(T27-U27-V27-W27-X27-Y27+AB27+AC27-L27-L27*0.235)),(('DATOS REFERENCIALES'!$C$9/1135)*H27)-(K27+N27+O27+P27+Q27+S27-U27-V27-W27-X27-Y27+AB27+AC27-(L27-L27*0.235))))&lt;0,0,IF(H27&gt;1134,(('DATOS REFERENCIALES'!$C$9)-(T27-U27-V27-W27-X27-Y27+AB27+AC27-(L27-L27*0.235))),(('DATOS REFERENCIALES'!$C$9/1135)*H27)-(K27+N27+O27+P27+Q27+S27-U27-V27-W27-X27-Y27+AB27+AC27-(L27-L27*0.235))))</f>
        <v>14623.710431562504</v>
      </c>
      <c r="AE27" s="148">
        <f t="shared" si="9"/>
        <v>63555</v>
      </c>
      <c r="AF27" s="90">
        <f>'DATOS REFERENCIALES'!$C$13</f>
        <v>5141</v>
      </c>
      <c r="AG27" s="646"/>
      <c r="AH27" s="649"/>
      <c r="AI27" s="90">
        <f>'DATOS REFERENCIALES'!$C$16</f>
        <v>2250</v>
      </c>
      <c r="AJ27" s="78">
        <f>'DATOS REFERENCIALES'!$C$12</f>
        <v>6699</v>
      </c>
      <c r="AK27" s="127">
        <f t="shared" si="11"/>
        <v>77645</v>
      </c>
      <c r="AL27" s="17"/>
      <c r="AM27" s="17"/>
      <c r="AQ27" s="8"/>
    </row>
    <row r="28" spans="1:43" s="1" customFormat="1" ht="21.75" customHeight="1" x14ac:dyDescent="0.25">
      <c r="A28" s="34">
        <v>546</v>
      </c>
      <c r="B28" s="215" t="s">
        <v>14</v>
      </c>
      <c r="C28" s="33">
        <v>0</v>
      </c>
      <c r="D28" s="36"/>
      <c r="E28" s="172"/>
      <c r="F28" s="55"/>
      <c r="G28" s="62">
        <v>1120</v>
      </c>
      <c r="H28" s="510">
        <v>1135</v>
      </c>
      <c r="I28" s="47"/>
      <c r="J28" s="47"/>
      <c r="K28" s="88">
        <f>H28*'DATOS REFERENCIALES'!$C$4</f>
        <v>21556.476149999999</v>
      </c>
      <c r="L28" s="88"/>
      <c r="M28" s="88"/>
      <c r="N28" s="78">
        <f>LOOKUP(C28,'TABLA ANTIG.'!$A$4:$A$39,'TABLA ANTIG.'!$B$4:$B$39)*(K28)</f>
        <v>0</v>
      </c>
      <c r="O28" s="97">
        <f t="shared" si="1"/>
        <v>2155.6476149999999</v>
      </c>
      <c r="P28" s="562">
        <f>IF(H28&gt;1134,'DATOS REFERENCIALES'!$C$8,IF(('DATOS REFERENCIALES'!$C$8/1135*H28)&lt;'DATOS REFERENCIALES'!$F$8,'DATOS REFERENCIALES'!$F$8))</f>
        <v>13323</v>
      </c>
      <c r="Q28" s="127">
        <f>LOOKUP(C28,'TABLA ANTIG.'!$A$4:$A$39,'TABLA ANTIG.'!$B$4:$B$39)*(P28)</f>
        <v>0</v>
      </c>
      <c r="R28" s="97">
        <f t="shared" si="2"/>
        <v>5231.9214225000005</v>
      </c>
      <c r="S28" s="499">
        <f>IF(C28&gt;11,IF(H28&gt;1134,'DATOS REFERENCIALES'!$C$18,IF(('DATOS REFERENCIALES'!$C$18/1135*H28)&lt;'DATOS REFERENCIALES'!$F$18,'DATOS REFERENCIALES'!$F$18,'DATOS REFERENCIALES'!$C$18/1135*H28)),0)</f>
        <v>0</v>
      </c>
      <c r="T28" s="155">
        <f t="shared" si="10"/>
        <v>42267.0451875</v>
      </c>
      <c r="U28" s="78">
        <f t="shared" si="3"/>
        <v>4649.3749706250001</v>
      </c>
      <c r="V28" s="78">
        <f t="shared" si="4"/>
        <v>1268.0113556249999</v>
      </c>
      <c r="W28" s="78">
        <f t="shared" si="4"/>
        <v>1268.0113556249999</v>
      </c>
      <c r="X28" s="78">
        <f t="shared" si="5"/>
        <v>845.34090375000005</v>
      </c>
      <c r="Y28" s="78">
        <f t="shared" si="6"/>
        <v>1902.0170334375</v>
      </c>
      <c r="Z28" s="27">
        <f t="shared" si="7"/>
        <v>9932.7556190625</v>
      </c>
      <c r="AA28" s="144">
        <f t="shared" si="8"/>
        <v>32334.2895684375</v>
      </c>
      <c r="AB28" s="144">
        <f>'DATOS REFERENCIALES'!$C$10</f>
        <v>0</v>
      </c>
      <c r="AC28" s="78">
        <f>IF(C28&lt;12,IF(H28&gt;1134,'DATOS REFERENCIALES'!$C$17,IF(('DATOS REFERENCIALES'!$C$17/1135*H28)&lt;'DATOS REFERENCIALES'!$F$17,'DATOS REFERENCIALES'!$F$17,('DATOS REFERENCIALES'!$C$17/1135*H28))),0)</f>
        <v>16597</v>
      </c>
      <c r="AD28" s="127">
        <f>IF((IF(H28&gt;1134,('DATOS REFERENCIALES'!$C$9-(T28-U28-V28-W28-X28-Y28+AB28+AC28-L28-L28*0.235)),(('DATOS REFERENCIALES'!$C$9/1135)*H28)-(K28+N28+O28+P28+Q28+S28-U28-V28-W28-X28-Y28+AB28+AC28-(L28-L28*0.235))))&lt;0,0,IF(H28&gt;1134,(('DATOS REFERENCIALES'!$C$9)-(T28-U28-V28-W28-X28-Y28+AB28+AC28-(L28-L28*0.235))),(('DATOS REFERENCIALES'!$C$9/1135)*H28)-(K28+N28+O28+P28+Q28+S28-U28-V28-W28-X28-Y28+AB28+AC28-(L28-L28*0.235))))</f>
        <v>14623.710431562504</v>
      </c>
      <c r="AE28" s="148">
        <f t="shared" si="9"/>
        <v>63555</v>
      </c>
      <c r="AF28" s="90">
        <f>'DATOS REFERENCIALES'!$C$13</f>
        <v>5141</v>
      </c>
      <c r="AG28" s="646"/>
      <c r="AH28" s="649"/>
      <c r="AI28" s="90">
        <f>'DATOS REFERENCIALES'!$C$16</f>
        <v>2250</v>
      </c>
      <c r="AJ28" s="78">
        <f>'DATOS REFERENCIALES'!$C$12</f>
        <v>6699</v>
      </c>
      <c r="AK28" s="127">
        <f t="shared" si="11"/>
        <v>77645</v>
      </c>
      <c r="AL28" s="17"/>
      <c r="AM28" s="17"/>
      <c r="AQ28" s="8"/>
    </row>
    <row r="29" spans="1:43" s="1" customFormat="1" ht="21.75" customHeight="1" x14ac:dyDescent="0.25">
      <c r="A29" s="34">
        <v>571</v>
      </c>
      <c r="B29" s="215" t="s">
        <v>74</v>
      </c>
      <c r="C29" s="33">
        <v>0</v>
      </c>
      <c r="D29" s="34"/>
      <c r="E29" s="173"/>
      <c r="F29" s="33"/>
      <c r="G29" s="61">
        <v>1120</v>
      </c>
      <c r="H29" s="511">
        <v>1135</v>
      </c>
      <c r="I29" s="48"/>
      <c r="J29" s="48"/>
      <c r="K29" s="88">
        <f>H29*'DATOS REFERENCIALES'!$C$4</f>
        <v>21556.476149999999</v>
      </c>
      <c r="L29" s="88"/>
      <c r="M29" s="88"/>
      <c r="N29" s="78">
        <f>LOOKUP(C29,'TABLA ANTIG.'!$A$4:$A$39,'TABLA ANTIG.'!$B$4:$B$39)*(K29)</f>
        <v>0</v>
      </c>
      <c r="O29" s="97">
        <f t="shared" si="1"/>
        <v>2155.6476149999999</v>
      </c>
      <c r="P29" s="562">
        <f>IF(H29&gt;1134,'DATOS REFERENCIALES'!$C$8,IF(('DATOS REFERENCIALES'!$C$8/1135*H29)&lt;'DATOS REFERENCIALES'!$F$8,'DATOS REFERENCIALES'!$F$8))</f>
        <v>13323</v>
      </c>
      <c r="Q29" s="127">
        <f>LOOKUP(C29,'TABLA ANTIG.'!$A$4:$A$39,'TABLA ANTIG.'!$B$4:$B$39)*(P29)</f>
        <v>0</v>
      </c>
      <c r="R29" s="97">
        <f t="shared" si="2"/>
        <v>5231.9214225000005</v>
      </c>
      <c r="S29" s="499">
        <f>IF(C29&gt;11,IF(H29&gt;1134,'DATOS REFERENCIALES'!$C$18,IF(('DATOS REFERENCIALES'!$C$18/1135*H29)&lt;'DATOS REFERENCIALES'!$F$18,'DATOS REFERENCIALES'!$F$18,'DATOS REFERENCIALES'!$C$18/1135*H29)),0)</f>
        <v>0</v>
      </c>
      <c r="T29" s="155">
        <f t="shared" si="10"/>
        <v>42267.0451875</v>
      </c>
      <c r="U29" s="78">
        <f t="shared" si="3"/>
        <v>4649.3749706250001</v>
      </c>
      <c r="V29" s="78">
        <f t="shared" si="4"/>
        <v>1268.0113556249999</v>
      </c>
      <c r="W29" s="78">
        <f t="shared" si="4"/>
        <v>1268.0113556249999</v>
      </c>
      <c r="X29" s="78">
        <f t="shared" si="5"/>
        <v>845.34090375000005</v>
      </c>
      <c r="Y29" s="78">
        <f t="shared" si="6"/>
        <v>1902.0170334375</v>
      </c>
      <c r="Z29" s="27">
        <f t="shared" si="7"/>
        <v>9932.7556190625</v>
      </c>
      <c r="AA29" s="144">
        <f t="shared" si="8"/>
        <v>32334.2895684375</v>
      </c>
      <c r="AB29" s="144">
        <f>'DATOS REFERENCIALES'!$C$10</f>
        <v>0</v>
      </c>
      <c r="AC29" s="78">
        <f>IF(C29&lt;12,IF(H29&gt;1134,'DATOS REFERENCIALES'!$C$17,IF(('DATOS REFERENCIALES'!$C$17/1135*H29)&lt;'DATOS REFERENCIALES'!$F$17,'DATOS REFERENCIALES'!$F$17,('DATOS REFERENCIALES'!$C$17/1135*H29))),0)</f>
        <v>16597</v>
      </c>
      <c r="AD29" s="127">
        <f>IF((IF(H29&gt;1134,('DATOS REFERENCIALES'!$C$9-(T29-U29-V29-W29-X29-Y29+AB29+AC29-L29-L29*0.235)),(('DATOS REFERENCIALES'!$C$9/1135)*H29)-(K29+N29+O29+P29+Q29+S29-U29-V29-W29-X29-Y29+AB29+AC29-(L29-L29*0.235))))&lt;0,0,IF(H29&gt;1134,(('DATOS REFERENCIALES'!$C$9)-(T29-U29-V29-W29-X29-Y29+AB29+AC29-(L29-L29*0.235))),(('DATOS REFERENCIALES'!$C$9/1135)*H29)-(K29+N29+O29+P29+Q29+S29-U29-V29-W29-X29-Y29+AB29+AC29-(L29-L29*0.235))))</f>
        <v>14623.710431562504</v>
      </c>
      <c r="AE29" s="148">
        <f t="shared" si="9"/>
        <v>63555</v>
      </c>
      <c r="AF29" s="90">
        <f>'DATOS REFERENCIALES'!$C$13</f>
        <v>5141</v>
      </c>
      <c r="AG29" s="646"/>
      <c r="AH29" s="649"/>
      <c r="AI29" s="90">
        <f>'DATOS REFERENCIALES'!$C$16</f>
        <v>2250</v>
      </c>
      <c r="AJ29" s="78">
        <f>'DATOS REFERENCIALES'!$C$12</f>
        <v>6699</v>
      </c>
      <c r="AK29" s="127">
        <f t="shared" si="11"/>
        <v>77645</v>
      </c>
      <c r="AL29" s="17"/>
      <c r="AM29" s="17"/>
      <c r="AQ29" s="8"/>
    </row>
    <row r="30" spans="1:43" s="711" customFormat="1" ht="22.8" customHeight="1" x14ac:dyDescent="0.25">
      <c r="A30" s="34">
        <v>582</v>
      </c>
      <c r="B30" s="215" t="s">
        <v>72</v>
      </c>
      <c r="C30" s="33">
        <v>0</v>
      </c>
      <c r="D30" s="36"/>
      <c r="E30" s="172"/>
      <c r="F30" s="55"/>
      <c r="G30" s="62">
        <v>959.5</v>
      </c>
      <c r="H30" s="47">
        <f t="shared" si="0"/>
        <v>959.5</v>
      </c>
      <c r="I30" s="47"/>
      <c r="J30" s="47"/>
      <c r="K30" s="113">
        <f>H30*'DATOS REFERENCIALES'!$C$4</f>
        <v>18223.294155</v>
      </c>
      <c r="L30" s="113"/>
      <c r="M30" s="113"/>
      <c r="N30" s="78">
        <f>LOOKUP(C30,'TABLA ANTIG.'!$A$4:$A$39,'TABLA ANTIG.'!$B$4:$B$39)*(K30)</f>
        <v>0</v>
      </c>
      <c r="O30" s="144">
        <f t="shared" si="1"/>
        <v>1822.3294155000001</v>
      </c>
      <c r="P30" s="113">
        <f>IF(H30&gt;1134,'DATOS REFERENCIALES'!$C$8,IF(('DATOS REFERENCIALES'!$C$8/1135*H30)&lt;'DATOS REFERENCIALES'!$F$8,'DATOS REFERENCIALES'!$F$8))</f>
        <v>12239</v>
      </c>
      <c r="Q30" s="127">
        <f>LOOKUP(C30,'TABLA ANTIG.'!$A$4:$A$39,'TABLA ANTIG.'!$B$4:$B$39)*(P30)</f>
        <v>0</v>
      </c>
      <c r="R30" s="144">
        <f t="shared" si="2"/>
        <v>4569.3441232499999</v>
      </c>
      <c r="S30" s="78">
        <f>IF(C30&gt;11,IF(H30&gt;1134,'DATOS REFERENCIALES'!$C$18,IF(('DATOS REFERENCIALES'!$C$18/1135*H30)&lt;'DATOS REFERENCIALES'!$F$18,'DATOS REFERENCIALES'!$F$18,'DATOS REFERENCIALES'!$C$18/1135*H30)),0)</f>
        <v>0</v>
      </c>
      <c r="T30" s="127">
        <f t="shared" si="10"/>
        <v>36853.967693749997</v>
      </c>
      <c r="U30" s="78">
        <f t="shared" si="3"/>
        <v>4053.9364463124998</v>
      </c>
      <c r="V30" s="78">
        <f t="shared" si="4"/>
        <v>1105.6190308124999</v>
      </c>
      <c r="W30" s="78">
        <f t="shared" si="4"/>
        <v>1105.6190308124999</v>
      </c>
      <c r="X30" s="78">
        <f t="shared" si="5"/>
        <v>737.07935387499992</v>
      </c>
      <c r="Y30" s="78">
        <f t="shared" si="6"/>
        <v>1658.4285462187497</v>
      </c>
      <c r="Z30" s="78">
        <f t="shared" si="7"/>
        <v>8660.682408031249</v>
      </c>
      <c r="AA30" s="144">
        <f t="shared" si="8"/>
        <v>28193.285285718746</v>
      </c>
      <c r="AB30" s="144">
        <f>'DATOS REFERENCIALES'!$C$10</f>
        <v>0</v>
      </c>
      <c r="AC30" s="78">
        <f>IF(C30&lt;12,IF(H30&gt;1134,'DATOS REFERENCIALES'!$C$17,IF(('DATOS REFERENCIALES'!$C$17/1135*H30)&lt;'DATOS REFERENCIALES'!$F$17,'DATOS REFERENCIALES'!$F$17,('DATOS REFERENCIALES'!$C$17/1135*H30))),0)</f>
        <v>15925</v>
      </c>
      <c r="AD30" s="127">
        <f>IF((IF(H30&gt;1134,('DATOS REFERENCIALES'!$C$9-((T30-(T30*0.235))+AB30+AC30-(L30-L30*0.235))),(('DATOS REFERENCIALES'!$C$9/1135)*H30)-(K30+N30+O30+R30+P30+Q30+S30-((K30+N30+O30+P30+Q30+R30+S30)*0.235)+AB30+AC30-(L30-L30*0.235))))&lt;0,0,IF(H30&gt;1134,(('DATOS REFERENCIALES'!$C$9)-((T30-(T30-0.235))+AB30+AC30-(L30-L30*0.235))),(('DATOS REFERENCIALES'!$C$9/1135)*H30)-((K30+N30+R30+O30+P30+Q30+S30)-((K30+N30+O30+P30+Q30+S30+R30)*0.235)+AB30+AC30-(L30-L30*0.235))))</f>
        <v>9609.4878420345485</v>
      </c>
      <c r="AE30" s="148">
        <f t="shared" si="9"/>
        <v>53727.773127753295</v>
      </c>
      <c r="AF30" s="90">
        <f>'DATOS REFERENCIALES'!$C$13</f>
        <v>5141</v>
      </c>
      <c r="AG30" s="646"/>
      <c r="AH30" s="649"/>
      <c r="AI30" s="90">
        <f>'DATOS REFERENCIALES'!$C$16</f>
        <v>2250</v>
      </c>
      <c r="AJ30" s="78">
        <f>'DATOS REFERENCIALES'!$C$12</f>
        <v>6699</v>
      </c>
      <c r="AK30" s="127">
        <f t="shared" si="11"/>
        <v>67817.773127753288</v>
      </c>
      <c r="AL30" s="710"/>
      <c r="AM30" s="710"/>
      <c r="AQ30" s="712"/>
    </row>
    <row r="31" spans="1:43" s="711" customFormat="1" ht="21.75" customHeight="1" x14ac:dyDescent="0.25">
      <c r="A31" s="34">
        <v>583</v>
      </c>
      <c r="B31" s="215" t="s">
        <v>71</v>
      </c>
      <c r="C31" s="33">
        <v>0</v>
      </c>
      <c r="D31" s="36"/>
      <c r="E31" s="172"/>
      <c r="F31" s="55"/>
      <c r="G31" s="62">
        <v>982</v>
      </c>
      <c r="H31" s="47">
        <f t="shared" si="0"/>
        <v>982</v>
      </c>
      <c r="I31" s="47"/>
      <c r="J31" s="47"/>
      <c r="K31" s="113">
        <f>H31*'DATOS REFERENCIALES'!$C$4</f>
        <v>18650.625179999999</v>
      </c>
      <c r="L31" s="113"/>
      <c r="M31" s="113"/>
      <c r="N31" s="78">
        <f>LOOKUP(C31,'TABLA ANTIG.'!$A$4:$A$39,'TABLA ANTIG.'!$B$4:$B$39)*(K31)</f>
        <v>0</v>
      </c>
      <c r="O31" s="144">
        <f t="shared" si="1"/>
        <v>1865.062518</v>
      </c>
      <c r="P31" s="113">
        <f>IF(H31&gt;1134,'DATOS REFERENCIALES'!$C$8,IF(('DATOS REFERENCIALES'!$C$8/1135*H31)&lt;'DATOS REFERENCIALES'!$F$8,'DATOS REFERENCIALES'!$F$8))</f>
        <v>12239</v>
      </c>
      <c r="Q31" s="127">
        <f>LOOKUP(C31,'TABLA ANTIG.'!$A$4:$A$39,'TABLA ANTIG.'!$B$4:$B$39)*(P31)</f>
        <v>0</v>
      </c>
      <c r="R31" s="144">
        <f t="shared" si="2"/>
        <v>4633.4437769999995</v>
      </c>
      <c r="S31" s="78">
        <f>IF(C31&gt;11,IF(H31&gt;1134,'DATOS REFERENCIALES'!$C$18,IF(('DATOS REFERENCIALES'!$C$18/1135*H31)&lt;'DATOS REFERENCIALES'!$F$18,'DATOS REFERENCIALES'!$F$18,'DATOS REFERENCIALES'!$C$18/1135*H31)),0)</f>
        <v>0</v>
      </c>
      <c r="T31" s="127">
        <f t="shared" si="10"/>
        <v>37388.131474999995</v>
      </c>
      <c r="U31" s="78">
        <f t="shared" si="3"/>
        <v>4112.6944622499996</v>
      </c>
      <c r="V31" s="78">
        <f t="shared" si="4"/>
        <v>1121.6439442499998</v>
      </c>
      <c r="W31" s="78">
        <f t="shared" si="4"/>
        <v>1121.6439442499998</v>
      </c>
      <c r="X31" s="78">
        <f t="shared" si="5"/>
        <v>747.76262949999989</v>
      </c>
      <c r="Y31" s="78">
        <f t="shared" si="6"/>
        <v>1682.4659163749998</v>
      </c>
      <c r="Z31" s="78">
        <f t="shared" si="7"/>
        <v>8786.210896624998</v>
      </c>
      <c r="AA31" s="144">
        <f t="shared" si="8"/>
        <v>28601.920578374997</v>
      </c>
      <c r="AB31" s="144">
        <f>'DATOS REFERENCIALES'!$C$10</f>
        <v>0</v>
      </c>
      <c r="AC31" s="78">
        <f>IF(C31&lt;12,IF(H31&gt;1134,'DATOS REFERENCIALES'!$C$17,IF(('DATOS REFERENCIALES'!$C$17/1135*H31)&lt;'DATOS REFERENCIALES'!$F$17,'DATOS REFERENCIALES'!$F$17,('DATOS REFERENCIALES'!$C$17/1135*H31))),0)</f>
        <v>15925</v>
      </c>
      <c r="AD31" s="127">
        <f>IF((IF(H31&gt;1134,('DATOS REFERENCIALES'!$C$9-((T31-(T31*0.235))+AB31+AC31-(L31-L31*0.235))),(('DATOS REFERENCIALES'!$C$9/1135)*H31)-(K31+N31+O31+R31+P31+Q31+S31-((K31+N31+O31+P31+Q31+R31+S31)*0.235)+AB31+AC31-(L31-L31*0.235))))&lt;0,0,IF(H31&gt;1134,(('DATOS REFERENCIALES'!$C$9)-((T31-(T31-0.235))+AB31+AC31-(L31-L31*0.235))),(('DATOS REFERENCIALES'!$C$9/1135)*H31)-((K31+N31+R31+O31+P31+Q31+S31)-((K31+N31+O31+P31+Q31+S31+R31)*0.235)+AB31+AC31-(L31-L31*0.235))))</f>
        <v>10460.753430435565</v>
      </c>
      <c r="AE31" s="148">
        <f t="shared" si="9"/>
        <v>54987.674008810558</v>
      </c>
      <c r="AF31" s="90">
        <f>'DATOS REFERENCIALES'!$C$13</f>
        <v>5141</v>
      </c>
      <c r="AG31" s="646"/>
      <c r="AH31" s="649"/>
      <c r="AI31" s="90">
        <f>'DATOS REFERENCIALES'!$C$16</f>
        <v>2250</v>
      </c>
      <c r="AJ31" s="78">
        <f>'DATOS REFERENCIALES'!$C$12</f>
        <v>6699</v>
      </c>
      <c r="AK31" s="127">
        <f t="shared" si="11"/>
        <v>69077.674008810558</v>
      </c>
      <c r="AL31" s="710"/>
      <c r="AM31" s="710"/>
      <c r="AQ31" s="712"/>
    </row>
    <row r="32" spans="1:43" s="711" customFormat="1" ht="21.75" customHeight="1" x14ac:dyDescent="0.25">
      <c r="A32" s="34">
        <v>554</v>
      </c>
      <c r="B32" s="215" t="s">
        <v>16</v>
      </c>
      <c r="C32" s="33">
        <v>0</v>
      </c>
      <c r="D32" s="36"/>
      <c r="E32" s="172"/>
      <c r="F32" s="55"/>
      <c r="G32" s="62">
        <v>810</v>
      </c>
      <c r="H32" s="47">
        <f t="shared" si="0"/>
        <v>810</v>
      </c>
      <c r="I32" s="47"/>
      <c r="J32" s="47"/>
      <c r="K32" s="113">
        <f>H32*'DATOS REFERENCIALES'!$C$4</f>
        <v>15383.9169</v>
      </c>
      <c r="L32" s="113"/>
      <c r="M32" s="113"/>
      <c r="N32" s="78">
        <f>LOOKUP(C32,'TABLA ANTIG.'!$A$4:$A$39,'TABLA ANTIG.'!$B$4:$B$39)*(K32)</f>
        <v>0</v>
      </c>
      <c r="O32" s="144">
        <f t="shared" si="1"/>
        <v>1538.3916900000002</v>
      </c>
      <c r="P32" s="113">
        <f>IF(H32&gt;1134,'DATOS REFERENCIALES'!$C$8,IF(('DATOS REFERENCIALES'!$C$8/1135*H32)&lt;'DATOS REFERENCIALES'!$F$8,'DATOS REFERENCIALES'!$F$8))</f>
        <v>12239</v>
      </c>
      <c r="Q32" s="127">
        <f>LOOKUP(C32,'TABLA ANTIG.'!$A$4:$A$39,'TABLA ANTIG.'!$B$4:$B$39)*(P32)</f>
        <v>0</v>
      </c>
      <c r="R32" s="144">
        <f t="shared" si="2"/>
        <v>4143.437535</v>
      </c>
      <c r="S32" s="78">
        <f>IF(C32&gt;11,IF(H32&gt;1134,'DATOS REFERENCIALES'!$C$18,IF(('DATOS REFERENCIALES'!$C$18/1135*H32)&lt;'DATOS REFERENCIALES'!$F$18,'DATOS REFERENCIALES'!$F$18,'DATOS REFERENCIALES'!$C$18/1135*H32)),0)</f>
        <v>0</v>
      </c>
      <c r="T32" s="127">
        <f t="shared" si="10"/>
        <v>33304.746124999998</v>
      </c>
      <c r="U32" s="78">
        <f t="shared" si="3"/>
        <v>3663.5220737499999</v>
      </c>
      <c r="V32" s="78">
        <f t="shared" si="4"/>
        <v>999.14238374999991</v>
      </c>
      <c r="W32" s="78">
        <f t="shared" si="4"/>
        <v>999.14238374999991</v>
      </c>
      <c r="X32" s="78">
        <f t="shared" si="5"/>
        <v>666.09492249999994</v>
      </c>
      <c r="Y32" s="78">
        <f t="shared" si="6"/>
        <v>1498.7135756249997</v>
      </c>
      <c r="Z32" s="78">
        <f t="shared" si="7"/>
        <v>7826.6153393750001</v>
      </c>
      <c r="AA32" s="144">
        <f t="shared" si="8"/>
        <v>25478.130785624999</v>
      </c>
      <c r="AB32" s="144">
        <f>'DATOS REFERENCIALES'!$C$10</f>
        <v>0</v>
      </c>
      <c r="AC32" s="78">
        <f>IF(C32&lt;12,IF(H32&gt;1134,'DATOS REFERENCIALES'!$C$17,IF(('DATOS REFERENCIALES'!$C$17/1135*H32)&lt;'DATOS REFERENCIALES'!$F$17,'DATOS REFERENCIALES'!$F$17,('DATOS REFERENCIALES'!$C$17/1135*H32))),0)</f>
        <v>15925</v>
      </c>
      <c r="AD32" s="127">
        <f>IF((IF(H32&gt;1134,('DATOS REFERENCIALES'!$C$9-((T32-(T32*0.235))+AB32+AC32-(L32-L32*0.235))),(('DATOS REFERENCIALES'!$C$9/1135)*H32)-(K32+N32+O32+R32+P32+Q32+S32-((K32+N32+O32+P32+Q32+R32+S32)*0.235)+AB32+AC32-(L32-L32*0.235))))&lt;0,0,IF(H32&gt;1134,(('DATOS REFERENCIALES'!$C$9)-((T32-(T32-0.235))+AB32+AC32-(L32-L32*0.235))),(('DATOS REFERENCIALES'!$C$9/1135)*H32)-((K32+N32+R32+O32+P32+Q32+S32)-((K32+N32+O32+P32+Q32+S32+R32)*0.235)+AB32+AC32-(L32-L32*0.235))))</f>
        <v>3953.3009324366649</v>
      </c>
      <c r="AE32" s="148">
        <f t="shared" si="9"/>
        <v>45356.431718061664</v>
      </c>
      <c r="AF32" s="90">
        <f>'DATOS REFERENCIALES'!$C$13</f>
        <v>5141</v>
      </c>
      <c r="AG32" s="646"/>
      <c r="AH32" s="649"/>
      <c r="AI32" s="90">
        <f>'DATOS REFERENCIALES'!$C$16</f>
        <v>2250</v>
      </c>
      <c r="AJ32" s="78">
        <f>'DATOS REFERENCIALES'!$C$12</f>
        <v>6699</v>
      </c>
      <c r="AK32" s="127">
        <f t="shared" si="11"/>
        <v>59446.431718061664</v>
      </c>
      <c r="AL32" s="710"/>
      <c r="AM32" s="710"/>
      <c r="AQ32" s="712"/>
    </row>
    <row r="33" spans="1:43" s="1" customFormat="1" ht="21.75" customHeight="1" x14ac:dyDescent="0.25">
      <c r="A33" s="34">
        <v>536</v>
      </c>
      <c r="B33" s="215" t="s">
        <v>21</v>
      </c>
      <c r="C33" s="33">
        <v>0</v>
      </c>
      <c r="D33" s="36"/>
      <c r="E33" s="172"/>
      <c r="F33" s="55"/>
      <c r="G33" s="62">
        <v>1120</v>
      </c>
      <c r="H33" s="510">
        <v>1135</v>
      </c>
      <c r="I33" s="47"/>
      <c r="J33" s="47"/>
      <c r="K33" s="88">
        <f>H33*'DATOS REFERENCIALES'!$C$4</f>
        <v>21556.476149999999</v>
      </c>
      <c r="L33" s="88"/>
      <c r="M33" s="88"/>
      <c r="N33" s="78">
        <f>LOOKUP(C33,'TABLA ANTIG.'!$A$4:$A$39,'TABLA ANTIG.'!$B$4:$B$39)*(K33)</f>
        <v>0</v>
      </c>
      <c r="O33" s="97">
        <f t="shared" si="1"/>
        <v>2155.6476149999999</v>
      </c>
      <c r="P33" s="562">
        <f>IF(H33&gt;1134,'DATOS REFERENCIALES'!$C$8,IF(('DATOS REFERENCIALES'!$C$8/1135*H33)&lt;'DATOS REFERENCIALES'!$F$8,'DATOS REFERENCIALES'!$F$8))</f>
        <v>13323</v>
      </c>
      <c r="Q33" s="127">
        <f>LOOKUP(C33,'TABLA ANTIG.'!$A$4:$A$39,'TABLA ANTIG.'!$B$4:$B$39)*(P33)</f>
        <v>0</v>
      </c>
      <c r="R33" s="97">
        <f t="shared" si="2"/>
        <v>5231.9214225000005</v>
      </c>
      <c r="S33" s="499">
        <f>IF(C33&gt;11,IF(H33&gt;1134,'DATOS REFERENCIALES'!$C$18,IF(('DATOS REFERENCIALES'!$C$18/1135*H33)&lt;'DATOS REFERENCIALES'!$F$18,'DATOS REFERENCIALES'!$F$18,'DATOS REFERENCIALES'!$C$18/1135*H33)),0)</f>
        <v>0</v>
      </c>
      <c r="T33" s="155">
        <f t="shared" si="10"/>
        <v>42267.0451875</v>
      </c>
      <c r="U33" s="78">
        <f t="shared" si="3"/>
        <v>4649.3749706250001</v>
      </c>
      <c r="V33" s="78">
        <f t="shared" si="4"/>
        <v>1268.0113556249999</v>
      </c>
      <c r="W33" s="78">
        <f t="shared" si="4"/>
        <v>1268.0113556249999</v>
      </c>
      <c r="X33" s="78">
        <f t="shared" si="5"/>
        <v>845.34090375000005</v>
      </c>
      <c r="Y33" s="78">
        <f t="shared" si="6"/>
        <v>1902.0170334375</v>
      </c>
      <c r="Z33" s="27">
        <f t="shared" si="7"/>
        <v>9932.7556190625</v>
      </c>
      <c r="AA33" s="144">
        <f t="shared" si="8"/>
        <v>32334.2895684375</v>
      </c>
      <c r="AB33" s="144">
        <f>'DATOS REFERENCIALES'!$C$10</f>
        <v>0</v>
      </c>
      <c r="AC33" s="78">
        <f>IF(C33&lt;12,IF(H33&gt;1134,'DATOS REFERENCIALES'!$C$17,IF(('DATOS REFERENCIALES'!$C$17/1135*H33)&lt;'DATOS REFERENCIALES'!$F$17,'DATOS REFERENCIALES'!$F$17,('DATOS REFERENCIALES'!$C$17/1135*H33))),0)</f>
        <v>16597</v>
      </c>
      <c r="AD33" s="127">
        <f>IF((IF(H33&gt;1134,('DATOS REFERENCIALES'!$C$9-(T33-U33-V33-W33-X33-Y33+AB33+AC33-L33-L33*0.235)),(('DATOS REFERENCIALES'!$C$9/1135)*H33)-(K33+N33+O33+P33+Q33+S33-U33-V33-W33-X33-Y33+AB33+AC33-(L33-L33*0.235))))&lt;0,0,IF(H33&gt;1134,(('DATOS REFERENCIALES'!$C$9)-(T33-U33-V33-W33-X33-Y33+AB33+AC33-(L33-L33*0.235))),(('DATOS REFERENCIALES'!$C$9/1135)*H33)-(K33+N33+O33+P33+Q33+S33-U33-V33-W33-X33-Y33+AB33+AC33-(L33-L33*0.235))))</f>
        <v>14623.710431562504</v>
      </c>
      <c r="AE33" s="148">
        <f t="shared" si="9"/>
        <v>63555</v>
      </c>
      <c r="AF33" s="90">
        <f>'DATOS REFERENCIALES'!$C$13</f>
        <v>5141</v>
      </c>
      <c r="AG33" s="646"/>
      <c r="AH33" s="649"/>
      <c r="AI33" s="90">
        <f>'DATOS REFERENCIALES'!$C$16</f>
        <v>2250</v>
      </c>
      <c r="AJ33" s="78">
        <f>'DATOS REFERENCIALES'!$C$12</f>
        <v>6699</v>
      </c>
      <c r="AK33" s="127">
        <f t="shared" si="11"/>
        <v>77645</v>
      </c>
      <c r="AL33" s="17"/>
      <c r="AM33" s="17"/>
      <c r="AQ33" s="8"/>
    </row>
    <row r="34" spans="1:43" s="1" customFormat="1" ht="21.75" customHeight="1" x14ac:dyDescent="0.25">
      <c r="A34" s="34">
        <v>580</v>
      </c>
      <c r="B34" s="215" t="s">
        <v>6</v>
      </c>
      <c r="C34" s="33">
        <v>0</v>
      </c>
      <c r="D34" s="34"/>
      <c r="E34" s="173"/>
      <c r="F34" s="33"/>
      <c r="G34" s="61">
        <v>1120</v>
      </c>
      <c r="H34" s="511">
        <v>1135</v>
      </c>
      <c r="I34" s="48"/>
      <c r="J34" s="48"/>
      <c r="K34" s="88">
        <f>H34*'DATOS REFERENCIALES'!$C$4</f>
        <v>21556.476149999999</v>
      </c>
      <c r="L34" s="88"/>
      <c r="M34" s="88"/>
      <c r="N34" s="78">
        <f>LOOKUP(C34,'TABLA ANTIG.'!$A$4:$A$39,'TABLA ANTIG.'!$B$4:$B$39)*(K34)</f>
        <v>0</v>
      </c>
      <c r="O34" s="97">
        <f t="shared" si="1"/>
        <v>2155.6476149999999</v>
      </c>
      <c r="P34" s="562">
        <f>IF(H34&gt;1134,'DATOS REFERENCIALES'!$C$8,IF(('DATOS REFERENCIALES'!$C$8/1135*H34)&lt;'DATOS REFERENCIALES'!$F$8,'DATOS REFERENCIALES'!$F$8))</f>
        <v>13323</v>
      </c>
      <c r="Q34" s="127">
        <f>LOOKUP(C34,'TABLA ANTIG.'!$A$4:$A$39,'TABLA ANTIG.'!$B$4:$B$39)*(P34)</f>
        <v>0</v>
      </c>
      <c r="R34" s="97">
        <f t="shared" si="2"/>
        <v>5231.9214225000005</v>
      </c>
      <c r="S34" s="499">
        <f>IF(C34&gt;11,IF(H34&gt;1134,'DATOS REFERENCIALES'!$C$18,IF(('DATOS REFERENCIALES'!$C$18/1135*H34)&lt;'DATOS REFERENCIALES'!$F$18,'DATOS REFERENCIALES'!$F$18,'DATOS REFERENCIALES'!$C$18/1135*H34)),0)</f>
        <v>0</v>
      </c>
      <c r="T34" s="155">
        <f t="shared" si="10"/>
        <v>42267.0451875</v>
      </c>
      <c r="U34" s="78">
        <f t="shared" si="3"/>
        <v>4649.3749706250001</v>
      </c>
      <c r="V34" s="78">
        <f t="shared" si="4"/>
        <v>1268.0113556249999</v>
      </c>
      <c r="W34" s="78">
        <f t="shared" si="4"/>
        <v>1268.0113556249999</v>
      </c>
      <c r="X34" s="78">
        <f t="shared" si="5"/>
        <v>845.34090375000005</v>
      </c>
      <c r="Y34" s="78">
        <f t="shared" si="6"/>
        <v>1902.0170334375</v>
      </c>
      <c r="Z34" s="27">
        <f t="shared" si="7"/>
        <v>9932.7556190625</v>
      </c>
      <c r="AA34" s="144">
        <f t="shared" si="8"/>
        <v>32334.2895684375</v>
      </c>
      <c r="AB34" s="144">
        <f>'DATOS REFERENCIALES'!$C$10</f>
        <v>0</v>
      </c>
      <c r="AC34" s="78">
        <f>IF(C34&lt;12,IF(H34&gt;1134,'DATOS REFERENCIALES'!$C$17,IF(('DATOS REFERENCIALES'!$C$17/1135*H34)&lt;'DATOS REFERENCIALES'!$F$17,'DATOS REFERENCIALES'!$F$17,('DATOS REFERENCIALES'!$C$17/1135*H34))),0)</f>
        <v>16597</v>
      </c>
      <c r="AD34" s="127">
        <f>IF((IF(H34&gt;1134,('DATOS REFERENCIALES'!$C$9-(T34-U34-V34-W34-X34-Y34+AB34+AC34-L34-L34*0.235)),(('DATOS REFERENCIALES'!$C$9/1135)*H34)-(K34+N34+O34+P34+Q34+S34-U34-V34-W34-X34-Y34+AB34+AC34-(L34-L34*0.235))))&lt;0,0,IF(H34&gt;1134,(('DATOS REFERENCIALES'!$C$9)-(T34-U34-V34-W34-X34-Y34+AB34+AC34-(L34-L34*0.235))),(('DATOS REFERENCIALES'!$C$9/1135)*H34)-(K34+N34+O34+P34+Q34+S34-U34-V34-W34-X34-Y34+AB34+AC34-(L34-L34*0.235))))</f>
        <v>14623.710431562504</v>
      </c>
      <c r="AE34" s="148">
        <f t="shared" si="9"/>
        <v>63555</v>
      </c>
      <c r="AF34" s="90">
        <f>'DATOS REFERENCIALES'!$C$13</f>
        <v>5141</v>
      </c>
      <c r="AG34" s="646"/>
      <c r="AH34" s="649"/>
      <c r="AI34" s="90">
        <f>'DATOS REFERENCIALES'!$C$16</f>
        <v>2250</v>
      </c>
      <c r="AJ34" s="78">
        <f>'DATOS REFERENCIALES'!$C$12</f>
        <v>6699</v>
      </c>
      <c r="AK34" s="127">
        <f t="shared" si="11"/>
        <v>77645</v>
      </c>
      <c r="AL34" s="17"/>
      <c r="AM34" s="17"/>
      <c r="AQ34" s="8"/>
    </row>
    <row r="35" spans="1:43" s="1" customFormat="1" ht="21.75" customHeight="1" x14ac:dyDescent="0.25">
      <c r="A35" s="34">
        <v>6539</v>
      </c>
      <c r="B35" s="215" t="s">
        <v>17</v>
      </c>
      <c r="C35" s="33">
        <v>0</v>
      </c>
      <c r="D35" s="23">
        <v>1</v>
      </c>
      <c r="E35" s="172"/>
      <c r="F35" s="55"/>
      <c r="G35" s="62">
        <v>56</v>
      </c>
      <c r="H35" s="47">
        <v>56</v>
      </c>
      <c r="I35" s="47"/>
      <c r="J35" s="47"/>
      <c r="K35" s="88">
        <f>(H35*'DATOS REFERENCIALES'!$C$4)*D35</f>
        <v>1063.57944</v>
      </c>
      <c r="L35" s="88"/>
      <c r="M35" s="88"/>
      <c r="N35" s="78">
        <f>LOOKUP(C35,'TABLA ANTIG.'!$A$4:$A$39,'TABLA ANTIG.'!$B$4:$B$39)*(K35)</f>
        <v>0</v>
      </c>
      <c r="O35" s="97">
        <f t="shared" si="1"/>
        <v>106.357944</v>
      </c>
      <c r="P35" s="652">
        <f>IF(D35&gt;38,'DATOS REFERENCIALES'!$D$8,'DATOS REFERENCIALES'!$E$8*D35)</f>
        <v>701.21052631578948</v>
      </c>
      <c r="Q35" s="127">
        <f>LOOKUP(C35,'TABLA ANTIG.'!$A$4:$A$39,'TABLA ANTIG.'!$B$4:$B$39)*(P35)</f>
        <v>0</v>
      </c>
      <c r="R35" s="97">
        <f t="shared" si="2"/>
        <v>264.71849494736841</v>
      </c>
      <c r="S35" s="499">
        <f>IF(C35&gt;11,IF(D35&gt;'DATOS REFERENCIALES'!$J$18,'DATOS REFERENCIALES'!$D$18,'DATOS REFERENCIALES'!$D$18/'DATOS REFERENCIALES'!$J$18*D35),0)</f>
        <v>0</v>
      </c>
      <c r="T35" s="155">
        <f t="shared" si="10"/>
        <v>2135.866405263158</v>
      </c>
      <c r="U35" s="78">
        <f t="shared" si="3"/>
        <v>234.94530457894737</v>
      </c>
      <c r="V35" s="78">
        <f t="shared" si="4"/>
        <v>64.075992157894731</v>
      </c>
      <c r="W35" s="78">
        <f t="shared" si="4"/>
        <v>64.075992157894731</v>
      </c>
      <c r="X35" s="78">
        <f t="shared" si="5"/>
        <v>42.717328105263157</v>
      </c>
      <c r="Y35" s="78">
        <f t="shared" si="6"/>
        <v>96.113988236842104</v>
      </c>
      <c r="Z35" s="27">
        <f t="shared" si="7"/>
        <v>501.92860523684209</v>
      </c>
      <c r="AA35" s="144">
        <f t="shared" si="8"/>
        <v>1633.9378000263159</v>
      </c>
      <c r="AB35" s="144">
        <f>IF(D35&gt;38,'DATOS REFERENCIALES'!$D$10,'DATOS REFERENCIALES'!$E$10*D35)</f>
        <v>0</v>
      </c>
      <c r="AC35" s="673">
        <f>IF(C35&lt;12,IF(D35&gt;'DATOS REFERENCIALES'!$J$17,'DATOS REFERENCIALES'!$D$17,('DATOS REFERENCIALES'!$E$17*D35)),0)</f>
        <v>873.52631578947364</v>
      </c>
      <c r="AD35" s="150">
        <f>IF(D35&gt;41,IF((('DATOS REFERENCIALES'!$D$9)-((T35)-Z35+(AB35)+(AC35)))&lt;0,0,((('DATOS REFERENCIALES'!$D$9)-((T35)-(Z35)+(AB35)+(AC35))))),IF((('DATOS REFERENCIALES'!$E$9*D35)-(((T35)-Z35+(AB35)+(AC35))))&lt;0,0,('DATOS REFERENCIALES'!$E$9*D35)-((T35)-(Z35)+(AB35)+(AC35))))</f>
        <v>670.28588418421032</v>
      </c>
      <c r="AE35" s="148">
        <f t="shared" si="9"/>
        <v>3177.75</v>
      </c>
      <c r="AF35" s="90">
        <f>IF(D35&gt;30,'DATOS REFERENCIALES'!$D$13,('DATOS REFERENCIALES'!$E$13*D35))</f>
        <v>342.73333333333335</v>
      </c>
      <c r="AG35" s="646"/>
      <c r="AH35" s="649"/>
      <c r="AI35" s="651">
        <f>IF(D35&gt;'DATOS REFERENCIALES'!$J$16,'DATOS REFERENCIALES'!$D$16,'DATOS REFERENCIALES'!$E$16*D35)</f>
        <v>150</v>
      </c>
      <c r="AJ35" s="78">
        <f>IF(D35&gt;'DATOS REFERENCIALES'!$J$12,'DATOS REFERENCIALES'!$D$12,'DATOS REFERENCIALES'!$E$12*D35)</f>
        <v>446.6</v>
      </c>
      <c r="AK35" s="127">
        <f t="shared" si="11"/>
        <v>4117.0833333333339</v>
      </c>
      <c r="AL35" s="17"/>
      <c r="AM35" s="17"/>
      <c r="AQ35" s="8"/>
    </row>
    <row r="36" spans="1:43" s="711" customFormat="1" ht="21.75" customHeight="1" x14ac:dyDescent="0.25">
      <c r="A36" s="34">
        <v>6540</v>
      </c>
      <c r="B36" s="215" t="s">
        <v>18</v>
      </c>
      <c r="C36" s="33">
        <v>0</v>
      </c>
      <c r="D36" s="34">
        <v>1</v>
      </c>
      <c r="E36" s="172"/>
      <c r="F36" s="55"/>
      <c r="G36" s="62">
        <v>56</v>
      </c>
      <c r="H36" s="47">
        <v>56.75</v>
      </c>
      <c r="I36" s="47"/>
      <c r="J36" s="47"/>
      <c r="K36" s="113">
        <f>(H36*'DATOS REFERENCIALES'!$C$4)*D36</f>
        <v>1077.8238074999999</v>
      </c>
      <c r="L36" s="113"/>
      <c r="M36" s="113"/>
      <c r="N36" s="78">
        <f>LOOKUP(C36,'TABLA ANTIG.'!$A$4:$A$39,'TABLA ANTIG.'!$B$4:$B$39)*(K36)</f>
        <v>0</v>
      </c>
      <c r="O36" s="144">
        <f t="shared" si="1"/>
        <v>107.78238075</v>
      </c>
      <c r="P36" s="713">
        <f>IF(D36&gt;38,'DATOS REFERENCIALES'!$D$8,'DATOS REFERENCIALES'!$E$8*D36)</f>
        <v>701.21052631578948</v>
      </c>
      <c r="Q36" s="127">
        <f>LOOKUP(C36,'TABLA ANTIG.'!$A$4:$A$39,'TABLA ANTIG.'!$B$4:$B$39)*(P36)</f>
        <v>0</v>
      </c>
      <c r="R36" s="144">
        <f t="shared" si="2"/>
        <v>266.85515007236842</v>
      </c>
      <c r="S36" s="78">
        <f>IF(C36&gt;11,IF(D36&gt;'DATOS REFERENCIALES'!$J$18,'DATOS REFERENCIALES'!$D$18,'DATOS REFERENCIALES'!$D$18/'DATOS REFERENCIALES'!$J$18*D36),0)</f>
        <v>0</v>
      </c>
      <c r="T36" s="127">
        <f t="shared" si="10"/>
        <v>2153.6718646381578</v>
      </c>
      <c r="U36" s="78">
        <f t="shared" si="3"/>
        <v>236.90390511019737</v>
      </c>
      <c r="V36" s="78">
        <f t="shared" si="4"/>
        <v>64.610155939144732</v>
      </c>
      <c r="W36" s="78">
        <f t="shared" si="4"/>
        <v>64.610155939144732</v>
      </c>
      <c r="X36" s="78">
        <f t="shared" si="5"/>
        <v>43.07343729276316</v>
      </c>
      <c r="Y36" s="78">
        <f t="shared" si="6"/>
        <v>96.915233908717099</v>
      </c>
      <c r="Z36" s="78">
        <f t="shared" si="7"/>
        <v>506.11288818996712</v>
      </c>
      <c r="AA36" s="144">
        <f t="shared" si="8"/>
        <v>1647.5589764481906</v>
      </c>
      <c r="AB36" s="144">
        <f>IF(D36&gt;38,'DATOS REFERENCIALES'!$D$10,'DATOS REFERENCIALES'!$E$10*D36)</f>
        <v>0</v>
      </c>
      <c r="AC36" s="687">
        <f>IF(C36&lt;12,IF(D36&gt;'DATOS REFERENCIALES'!$J$17,'DATOS REFERENCIALES'!$D$17,('DATOS REFERENCIALES'!$E$17*D36)),0)</f>
        <v>873.52631578947364</v>
      </c>
      <c r="AD36" s="150">
        <f>IF(D36&gt;41,IF((('DATOS REFERENCIALES'!$D$9)-((T36)-Z36+(AB36)+(AC36)))&lt;0,0,((('DATOS REFERENCIALES'!$D$9)-((T36)-(Z36)+(AB36)+(AC36))))),IF((('DATOS REFERENCIALES'!$E$9*D36)-(((T36)-Z36+(AB36)+(AC36))))&lt;0,0,('DATOS REFERENCIALES'!$E$9*D36)-((T36)-(Z36)+(AB36)+(AC36))))</f>
        <v>656.66470776233564</v>
      </c>
      <c r="AE36" s="148">
        <f t="shared" si="9"/>
        <v>3177.75</v>
      </c>
      <c r="AF36" s="90">
        <f>IF(D36&gt;30,'DATOS REFERENCIALES'!$D$13,('DATOS REFERENCIALES'!$E$13*D36))</f>
        <v>342.73333333333335</v>
      </c>
      <c r="AG36" s="646"/>
      <c r="AH36" s="649"/>
      <c r="AI36" s="651">
        <f>IF(D36&gt;'DATOS REFERENCIALES'!$J$16,'DATOS REFERENCIALES'!$D$16,'DATOS REFERENCIALES'!$E$16*D36)</f>
        <v>150</v>
      </c>
      <c r="AJ36" s="78">
        <f>IF(D36&gt;'DATOS REFERENCIALES'!$J$12,'DATOS REFERENCIALES'!$D$12,'DATOS REFERENCIALES'!$E$12*D36)</f>
        <v>446.6</v>
      </c>
      <c r="AK36" s="127">
        <f t="shared" si="11"/>
        <v>4117.0833333333339</v>
      </c>
      <c r="AL36" s="710"/>
      <c r="AM36" s="710"/>
      <c r="AQ36" s="712"/>
    </row>
    <row r="37" spans="1:43" s="711" customFormat="1" ht="21.75" customHeight="1" x14ac:dyDescent="0.25">
      <c r="A37" s="34">
        <v>6541</v>
      </c>
      <c r="B37" s="215" t="s">
        <v>50</v>
      </c>
      <c r="C37" s="33">
        <v>0</v>
      </c>
      <c r="D37" s="34">
        <v>1</v>
      </c>
      <c r="E37" s="172"/>
      <c r="F37" s="55"/>
      <c r="G37" s="62">
        <v>56</v>
      </c>
      <c r="H37" s="47">
        <v>56.75</v>
      </c>
      <c r="I37" s="47"/>
      <c r="J37" s="47"/>
      <c r="K37" s="113">
        <f>(H37*'DATOS REFERENCIALES'!$C$4)*D37</f>
        <v>1077.8238074999999</v>
      </c>
      <c r="L37" s="113"/>
      <c r="M37" s="113"/>
      <c r="N37" s="78">
        <f>LOOKUP(C37,'TABLA ANTIG.'!$A$4:$A$39,'TABLA ANTIG.'!$B$4:$B$39)*(K37)</f>
        <v>0</v>
      </c>
      <c r="O37" s="144">
        <f t="shared" si="1"/>
        <v>107.78238075</v>
      </c>
      <c r="P37" s="713">
        <f>IF(D37&gt;38,'DATOS REFERENCIALES'!$D$8,'DATOS REFERENCIALES'!$E$8*D37)</f>
        <v>701.21052631578948</v>
      </c>
      <c r="Q37" s="127">
        <f>LOOKUP(C37,'TABLA ANTIG.'!$A$4:$A$39,'TABLA ANTIG.'!$B$4:$B$39)*(P37)</f>
        <v>0</v>
      </c>
      <c r="R37" s="144">
        <f t="shared" si="2"/>
        <v>266.85515007236842</v>
      </c>
      <c r="S37" s="78">
        <f>IF(C37&gt;11,IF(D37&gt;'DATOS REFERENCIALES'!$J$18,'DATOS REFERENCIALES'!$D$18,'DATOS REFERENCIALES'!$D$18/'DATOS REFERENCIALES'!$J$18*D37),0)</f>
        <v>0</v>
      </c>
      <c r="T37" s="127">
        <f t="shared" si="10"/>
        <v>2153.6718646381578</v>
      </c>
      <c r="U37" s="78">
        <f t="shared" si="3"/>
        <v>236.90390511019737</v>
      </c>
      <c r="V37" s="78">
        <f t="shared" si="4"/>
        <v>64.610155939144732</v>
      </c>
      <c r="W37" s="78">
        <f t="shared" si="4"/>
        <v>64.610155939144732</v>
      </c>
      <c r="X37" s="78">
        <f t="shared" si="5"/>
        <v>43.07343729276316</v>
      </c>
      <c r="Y37" s="78">
        <f t="shared" si="6"/>
        <v>96.915233908717099</v>
      </c>
      <c r="Z37" s="78">
        <f t="shared" si="7"/>
        <v>506.11288818996712</v>
      </c>
      <c r="AA37" s="144">
        <f t="shared" si="8"/>
        <v>1647.5589764481906</v>
      </c>
      <c r="AB37" s="144">
        <f>IF(D37&gt;38,'DATOS REFERENCIALES'!$D$10,'DATOS REFERENCIALES'!$E$10*D37)</f>
        <v>0</v>
      </c>
      <c r="AC37" s="687">
        <f>IF(C37&lt;12,IF(D37&gt;'DATOS REFERENCIALES'!$J$17,'DATOS REFERENCIALES'!$D$17,('DATOS REFERENCIALES'!$E$17*D37)),0)</f>
        <v>873.52631578947364</v>
      </c>
      <c r="AD37" s="150">
        <f>IF(D37&gt;41,IF((('DATOS REFERENCIALES'!$D$9)-((T37)-Z37+(AB37)+(AC37)))&lt;0,0,((('DATOS REFERENCIALES'!$D$9)-((T37)-(Z37)+(AB37)+(AC37))))),IF((('DATOS REFERENCIALES'!$E$9*D37)-(((T37)-Z37+(AB37)+(AC37))))&lt;0,0,('DATOS REFERENCIALES'!$E$9*D37)-((T37)-(Z37)+(AB37)+(AC37))))</f>
        <v>656.66470776233564</v>
      </c>
      <c r="AE37" s="148">
        <f t="shared" si="9"/>
        <v>3177.75</v>
      </c>
      <c r="AF37" s="90">
        <f>IF(D37&gt;30,'DATOS REFERENCIALES'!$D$13,('DATOS REFERENCIALES'!$E$13*D37))</f>
        <v>342.73333333333335</v>
      </c>
      <c r="AG37" s="646"/>
      <c r="AH37" s="649"/>
      <c r="AI37" s="651">
        <f>IF(D37&gt;'DATOS REFERENCIALES'!$J$16,'DATOS REFERENCIALES'!$D$16,'DATOS REFERENCIALES'!$E$16*D37)</f>
        <v>150</v>
      </c>
      <c r="AJ37" s="78">
        <f>IF(D37&gt;'DATOS REFERENCIALES'!$J$12,'DATOS REFERENCIALES'!$D$12,'DATOS REFERENCIALES'!$E$12*D37)</f>
        <v>446.6</v>
      </c>
      <c r="AK37" s="127">
        <f t="shared" si="11"/>
        <v>4117.0833333333339</v>
      </c>
      <c r="AL37" s="710"/>
      <c r="AM37" s="710"/>
      <c r="AQ37" s="712"/>
    </row>
    <row r="38" spans="1:43" s="711" customFormat="1" ht="21.75" customHeight="1" x14ac:dyDescent="0.25">
      <c r="A38" s="34">
        <v>6850</v>
      </c>
      <c r="B38" s="215" t="s">
        <v>22</v>
      </c>
      <c r="C38" s="33">
        <v>0</v>
      </c>
      <c r="D38" s="34">
        <v>1</v>
      </c>
      <c r="E38" s="172"/>
      <c r="F38" s="55"/>
      <c r="G38" s="62">
        <v>56</v>
      </c>
      <c r="H38" s="47">
        <v>56.75</v>
      </c>
      <c r="I38" s="47"/>
      <c r="J38" s="47"/>
      <c r="K38" s="113">
        <f>(H38*'DATOS REFERENCIALES'!$C$4)*D38</f>
        <v>1077.8238074999999</v>
      </c>
      <c r="L38" s="113"/>
      <c r="M38" s="113"/>
      <c r="N38" s="78">
        <f>LOOKUP(C38,'TABLA ANTIG.'!$A$4:$A$39,'TABLA ANTIG.'!$B$4:$B$39)*(K38)</f>
        <v>0</v>
      </c>
      <c r="O38" s="144">
        <f t="shared" si="1"/>
        <v>107.78238075</v>
      </c>
      <c r="P38" s="713">
        <f>IF(D38&gt;38,'DATOS REFERENCIALES'!$D$8,'DATOS REFERENCIALES'!$E$8*D38)</f>
        <v>701.21052631578948</v>
      </c>
      <c r="Q38" s="127">
        <f>LOOKUP(C38,'TABLA ANTIG.'!$A$4:$A$39,'TABLA ANTIG.'!$B$4:$B$39)*(P38)</f>
        <v>0</v>
      </c>
      <c r="R38" s="144">
        <f t="shared" si="2"/>
        <v>266.85515007236842</v>
      </c>
      <c r="S38" s="78">
        <f>IF(C38&gt;11,IF(D38&gt;'DATOS REFERENCIALES'!$J$18,'DATOS REFERENCIALES'!$D$18,'DATOS REFERENCIALES'!$D$18/'DATOS REFERENCIALES'!$J$18*D38),0)</f>
        <v>0</v>
      </c>
      <c r="T38" s="127">
        <f t="shared" si="10"/>
        <v>2153.6718646381578</v>
      </c>
      <c r="U38" s="78">
        <f t="shared" si="3"/>
        <v>236.90390511019737</v>
      </c>
      <c r="V38" s="78">
        <f t="shared" si="4"/>
        <v>64.610155939144732</v>
      </c>
      <c r="W38" s="78">
        <f t="shared" si="4"/>
        <v>64.610155939144732</v>
      </c>
      <c r="X38" s="78">
        <f t="shared" si="5"/>
        <v>43.07343729276316</v>
      </c>
      <c r="Y38" s="78">
        <f t="shared" si="6"/>
        <v>96.915233908717099</v>
      </c>
      <c r="Z38" s="78">
        <f t="shared" si="7"/>
        <v>506.11288818996712</v>
      </c>
      <c r="AA38" s="144">
        <f t="shared" si="8"/>
        <v>1647.5589764481906</v>
      </c>
      <c r="AB38" s="144">
        <f>IF(D38&gt;38,'DATOS REFERENCIALES'!$D$10,'DATOS REFERENCIALES'!$E$10*D38)</f>
        <v>0</v>
      </c>
      <c r="AC38" s="687">
        <f>IF(C38&lt;12,IF(D38&gt;'DATOS REFERENCIALES'!$J$17,'DATOS REFERENCIALES'!$D$17,('DATOS REFERENCIALES'!$E$17*D38)),0)</f>
        <v>873.52631578947364</v>
      </c>
      <c r="AD38" s="150">
        <f>IF(D38&gt;41,IF((('DATOS REFERENCIALES'!$D$9)-((T38)-Z38+(AB38)+(AC38)))&lt;0,0,((('DATOS REFERENCIALES'!$D$9)-((T38)-(Z38)+(AB38)+(AC38))))),IF((('DATOS REFERENCIALES'!$E$9*D38)-(((T38)-Z38+(AB38)+(AC38))))&lt;0,0,('DATOS REFERENCIALES'!$E$9*D38)-((T38)-(Z38)+(AB38)+(AC38))))</f>
        <v>656.66470776233564</v>
      </c>
      <c r="AE38" s="148">
        <f t="shared" si="9"/>
        <v>3177.75</v>
      </c>
      <c r="AF38" s="90">
        <f>IF(D38&gt;30,'DATOS REFERENCIALES'!$D$13,('DATOS REFERENCIALES'!$E$13*D38))</f>
        <v>342.73333333333335</v>
      </c>
      <c r="AG38" s="646"/>
      <c r="AH38" s="649"/>
      <c r="AI38" s="651">
        <f>IF(D38&gt;'DATOS REFERENCIALES'!$J$16,'DATOS REFERENCIALES'!$D$16,'DATOS REFERENCIALES'!$E$16*D38)</f>
        <v>150</v>
      </c>
      <c r="AJ38" s="78">
        <f>IF(D38&gt;'DATOS REFERENCIALES'!$J$12,'DATOS REFERENCIALES'!$D$12,'DATOS REFERENCIALES'!$E$12*D38)</f>
        <v>446.6</v>
      </c>
      <c r="AK38" s="127">
        <f t="shared" si="11"/>
        <v>4117.0833333333339</v>
      </c>
      <c r="AL38" s="710"/>
      <c r="AM38" s="710"/>
      <c r="AQ38" s="712"/>
    </row>
    <row r="39" spans="1:43" s="1" customFormat="1" ht="21.75" customHeight="1" x14ac:dyDescent="0.25">
      <c r="A39" s="34">
        <v>6546</v>
      </c>
      <c r="B39" s="215" t="s">
        <v>19</v>
      </c>
      <c r="C39" s="33">
        <v>0</v>
      </c>
      <c r="D39" s="23">
        <v>1</v>
      </c>
      <c r="E39" s="173"/>
      <c r="F39" s="33"/>
      <c r="G39" s="61">
        <v>74.67</v>
      </c>
      <c r="H39" s="48">
        <f t="shared" si="0"/>
        <v>74.67</v>
      </c>
      <c r="I39" s="48"/>
      <c r="J39" s="48"/>
      <c r="K39" s="88">
        <f>(H39*'DATOS REFERENCIALES'!$C$4)*D39</f>
        <v>1418.1692283</v>
      </c>
      <c r="L39" s="88"/>
      <c r="M39" s="88"/>
      <c r="N39" s="78">
        <f>LOOKUP(C39,'TABLA ANTIG.'!$A$4:$A$39,'TABLA ANTIG.'!$B$4:$B$39)*(K39)</f>
        <v>0</v>
      </c>
      <c r="O39" s="97">
        <f t="shared" si="1"/>
        <v>141.81692283000001</v>
      </c>
      <c r="P39" s="652">
        <f>IF(D39&gt;38,'DATOS REFERENCIALES'!$D$8,'DATOS REFERENCIALES'!$E$8*D39)</f>
        <v>701.21052631578948</v>
      </c>
      <c r="Q39" s="127">
        <f>LOOKUP(C39,'TABLA ANTIG.'!$A$4:$A$39,'TABLA ANTIG.'!$B$4:$B$39)*(P39)</f>
        <v>0</v>
      </c>
      <c r="R39" s="97">
        <f t="shared" si="2"/>
        <v>317.90696319236838</v>
      </c>
      <c r="S39" s="499">
        <f>IF(C39&gt;11,IF(D39&gt;'DATOS REFERENCIALES'!$J$18,'DATOS REFERENCIALES'!$D$18,'DATOS REFERENCIALES'!$D$18/'DATOS REFERENCIALES'!$J$18*D39),0)</f>
        <v>0</v>
      </c>
      <c r="T39" s="155">
        <f t="shared" si="10"/>
        <v>2579.1036406381581</v>
      </c>
      <c r="U39" s="78">
        <f t="shared" si="3"/>
        <v>283.70140047019737</v>
      </c>
      <c r="V39" s="78">
        <f t="shared" si="4"/>
        <v>77.373109219144737</v>
      </c>
      <c r="W39" s="78">
        <f t="shared" si="4"/>
        <v>77.373109219144737</v>
      </c>
      <c r="X39" s="78">
        <f t="shared" si="5"/>
        <v>51.582072812763165</v>
      </c>
      <c r="Y39" s="78">
        <f t="shared" si="6"/>
        <v>116.05966382871711</v>
      </c>
      <c r="Z39" s="27">
        <f t="shared" si="7"/>
        <v>606.08935554996708</v>
      </c>
      <c r="AA39" s="144">
        <f t="shared" si="8"/>
        <v>1973.0142850881912</v>
      </c>
      <c r="AB39" s="144">
        <f>IF(D39&gt;38,'DATOS REFERENCIALES'!$D$10,'DATOS REFERENCIALES'!$E$10*D39)</f>
        <v>0</v>
      </c>
      <c r="AC39" s="673">
        <f>IF(C39&lt;12,IF(D39&gt;'DATOS REFERENCIALES'!$J$17,'DATOS REFERENCIALES'!$D$17,('DATOS REFERENCIALES'!$E$17*D39)),0)</f>
        <v>873.52631578947364</v>
      </c>
      <c r="AD39" s="150">
        <f>IF(D39&gt;41,IF((('DATOS REFERENCIALES'!$D$9)-((T39)-Z39+(AB39)+(AC39)))&lt;0,0,((('DATOS REFERENCIALES'!$D$9)-((T39)-(Z39)+(AB39)+(AC39))))),IF((('DATOS REFERENCIALES'!$E$9*D39)-(((T39)-Z39+(AB39)+(AC39))))&lt;0,0,('DATOS REFERENCIALES'!$E$9*D39)-((T39)-(Z39)+(AB39)+(AC39))))</f>
        <v>331.20939912233507</v>
      </c>
      <c r="AE39" s="148">
        <f t="shared" si="9"/>
        <v>3177.75</v>
      </c>
      <c r="AF39" s="90">
        <f>IF(D39&gt;30,'DATOS REFERENCIALES'!$D$13,('DATOS REFERENCIALES'!$E$13*D39))</f>
        <v>342.73333333333335</v>
      </c>
      <c r="AG39" s="646"/>
      <c r="AH39" s="649"/>
      <c r="AI39" s="651">
        <f>IF(D39&gt;'DATOS REFERENCIALES'!$J$16,'DATOS REFERENCIALES'!$D$16,'DATOS REFERENCIALES'!$E$16*D39)</f>
        <v>150</v>
      </c>
      <c r="AJ39" s="78">
        <f>IF(D39&gt;'DATOS REFERENCIALES'!$J$12,'DATOS REFERENCIALES'!$D$12,'DATOS REFERENCIALES'!$E$12*D39)</f>
        <v>446.6</v>
      </c>
      <c r="AK39" s="127">
        <f t="shared" si="11"/>
        <v>4117.0833333333339</v>
      </c>
      <c r="AL39" s="17"/>
      <c r="AM39" s="17"/>
      <c r="AQ39" s="8"/>
    </row>
    <row r="40" spans="1:43" s="711" customFormat="1" ht="21.75" customHeight="1" x14ac:dyDescent="0.25">
      <c r="A40" s="117">
        <v>6571</v>
      </c>
      <c r="B40" s="214" t="s">
        <v>20</v>
      </c>
      <c r="C40" s="171">
        <v>0</v>
      </c>
      <c r="D40" s="34">
        <v>1</v>
      </c>
      <c r="E40" s="43"/>
      <c r="F40" s="63"/>
      <c r="G40" s="64">
        <v>56</v>
      </c>
      <c r="H40" s="119">
        <v>56.75</v>
      </c>
      <c r="I40" s="119"/>
      <c r="J40" s="119"/>
      <c r="K40" s="113">
        <f>(H40*'DATOS REFERENCIALES'!$C$4)*D40</f>
        <v>1077.8238074999999</v>
      </c>
      <c r="L40" s="113"/>
      <c r="M40" s="113"/>
      <c r="N40" s="78">
        <f>LOOKUP(C40,'TABLA ANTIG.'!$A$4:$A$39,'TABLA ANTIG.'!$B$4:$B$39)*(K40)</f>
        <v>0</v>
      </c>
      <c r="O40" s="144">
        <f t="shared" si="1"/>
        <v>107.78238075</v>
      </c>
      <c r="P40" s="713">
        <f>IF(D40&gt;38,'DATOS REFERENCIALES'!$D$8,'DATOS REFERENCIALES'!$E$8*D40)</f>
        <v>701.21052631578948</v>
      </c>
      <c r="Q40" s="127">
        <f>LOOKUP(C40,'TABLA ANTIG.'!$A$4:$A$39,'TABLA ANTIG.'!$B$4:$B$39)*(P40)</f>
        <v>0</v>
      </c>
      <c r="R40" s="144">
        <f t="shared" si="2"/>
        <v>266.85515007236842</v>
      </c>
      <c r="S40" s="78">
        <f>IF(C40&gt;11,IF(D40&gt;'DATOS REFERENCIALES'!$J$18,'DATOS REFERENCIALES'!$D$18,'DATOS REFERENCIALES'!$D$18/'DATOS REFERENCIALES'!$J$18*D40),0)</f>
        <v>0</v>
      </c>
      <c r="T40" s="127">
        <f t="shared" si="10"/>
        <v>2153.6718646381578</v>
      </c>
      <c r="U40" s="78">
        <f t="shared" si="3"/>
        <v>236.90390511019737</v>
      </c>
      <c r="V40" s="78">
        <f t="shared" si="4"/>
        <v>64.610155939144732</v>
      </c>
      <c r="W40" s="78">
        <f t="shared" si="4"/>
        <v>64.610155939144732</v>
      </c>
      <c r="X40" s="78">
        <f t="shared" si="5"/>
        <v>43.07343729276316</v>
      </c>
      <c r="Y40" s="78">
        <f t="shared" si="6"/>
        <v>96.915233908717099</v>
      </c>
      <c r="Z40" s="78">
        <f t="shared" si="7"/>
        <v>506.11288818996712</v>
      </c>
      <c r="AA40" s="144">
        <f t="shared" si="8"/>
        <v>1647.5589764481906</v>
      </c>
      <c r="AB40" s="144">
        <f>IF(D40&gt;38,'DATOS REFERENCIALES'!$D$10,'DATOS REFERENCIALES'!$E$10*D40)</f>
        <v>0</v>
      </c>
      <c r="AC40" s="687">
        <f>IF(C40&lt;12,IF(D40&gt;'DATOS REFERENCIALES'!$J$17,'DATOS REFERENCIALES'!$D$17,('DATOS REFERENCIALES'!$E$17*D40)),0)</f>
        <v>873.52631578947364</v>
      </c>
      <c r="AD40" s="150">
        <f>IF(D40&gt;41,IF((('DATOS REFERENCIALES'!$D$9)-((T40)-Z40+(AB40)+(AC40)))&lt;0,0,((('DATOS REFERENCIALES'!$D$9)-((T40)-(Z40)+(AB40)+(AC40))))),IF((('DATOS REFERENCIALES'!$E$9*D40)-(((T40)-Z40+(AB40)+(AC40))))&lt;0,0,('DATOS REFERENCIALES'!$E$9*D40)-((T40)-(Z40)+(AB40)+(AC40))))</f>
        <v>656.66470776233564</v>
      </c>
      <c r="AE40" s="148">
        <f t="shared" si="9"/>
        <v>3177.75</v>
      </c>
      <c r="AF40" s="90">
        <f>IF(D40&gt;30,'DATOS REFERENCIALES'!$D$13,('DATOS REFERENCIALES'!$E$13*D40))</f>
        <v>342.73333333333335</v>
      </c>
      <c r="AG40" s="646"/>
      <c r="AH40" s="649"/>
      <c r="AI40" s="651">
        <f>IF(D40&gt;'DATOS REFERENCIALES'!$J$16,'DATOS REFERENCIALES'!$D$16,'DATOS REFERENCIALES'!$E$16*D40)</f>
        <v>150</v>
      </c>
      <c r="AJ40" s="78">
        <f>IF(D40&gt;'DATOS REFERENCIALES'!$J$12,'DATOS REFERENCIALES'!$D$12,'DATOS REFERENCIALES'!$E$12*D40)</f>
        <v>446.6</v>
      </c>
      <c r="AK40" s="127">
        <f t="shared" si="11"/>
        <v>4117.0833333333339</v>
      </c>
      <c r="AL40" s="710"/>
      <c r="AM40" s="710"/>
      <c r="AQ40" s="712"/>
    </row>
    <row r="41" spans="1:43" s="1" customFormat="1" ht="21.75" customHeight="1" x14ac:dyDescent="0.25">
      <c r="A41" s="34">
        <v>6508</v>
      </c>
      <c r="B41" s="216" t="s">
        <v>58</v>
      </c>
      <c r="C41" s="33">
        <v>0</v>
      </c>
      <c r="D41" s="23">
        <v>1</v>
      </c>
      <c r="E41" s="172"/>
      <c r="F41" s="55"/>
      <c r="G41" s="62">
        <v>56</v>
      </c>
      <c r="H41" s="47">
        <f t="shared" si="0"/>
        <v>56</v>
      </c>
      <c r="I41" s="47"/>
      <c r="J41" s="47"/>
      <c r="K41" s="88">
        <f>(H41*'DATOS REFERENCIALES'!$C$4)*D41</f>
        <v>1063.57944</v>
      </c>
      <c r="L41" s="88"/>
      <c r="M41" s="88"/>
      <c r="N41" s="78">
        <f>LOOKUP(C41,'TABLA ANTIG.'!$A$4:$A$39,'TABLA ANTIG.'!$B$4:$B$39)*(K41)</f>
        <v>0</v>
      </c>
      <c r="O41" s="97">
        <f t="shared" si="1"/>
        <v>106.357944</v>
      </c>
      <c r="P41" s="652">
        <f>IF(D41&gt;38,'DATOS REFERENCIALES'!$D$8,'DATOS REFERENCIALES'!$E$8*D41)</f>
        <v>701.21052631578948</v>
      </c>
      <c r="Q41" s="127">
        <f>LOOKUP(C41,'TABLA ANTIG.'!$A$4:$A$39,'TABLA ANTIG.'!$B$4:$B$39)*(P41)</f>
        <v>0</v>
      </c>
      <c r="R41" s="97">
        <f t="shared" si="2"/>
        <v>264.71849494736841</v>
      </c>
      <c r="S41" s="499">
        <f>IF(C41&gt;11,IF(D41&gt;'DATOS REFERENCIALES'!$J$18,'DATOS REFERENCIALES'!$D$18,'DATOS REFERENCIALES'!$D$18/'DATOS REFERENCIALES'!$J$18*D41),0)</f>
        <v>0</v>
      </c>
      <c r="T41" s="155">
        <f t="shared" si="10"/>
        <v>2135.866405263158</v>
      </c>
      <c r="U41" s="78">
        <f t="shared" si="3"/>
        <v>234.94530457894737</v>
      </c>
      <c r="V41" s="78">
        <f t="shared" si="4"/>
        <v>64.075992157894731</v>
      </c>
      <c r="W41" s="78">
        <f t="shared" si="4"/>
        <v>64.075992157894731</v>
      </c>
      <c r="X41" s="78">
        <f t="shared" si="5"/>
        <v>42.717328105263157</v>
      </c>
      <c r="Y41" s="78">
        <f t="shared" si="6"/>
        <v>96.113988236842104</v>
      </c>
      <c r="Z41" s="27">
        <f t="shared" si="7"/>
        <v>501.92860523684209</v>
      </c>
      <c r="AA41" s="144">
        <f t="shared" si="8"/>
        <v>1633.9378000263159</v>
      </c>
      <c r="AB41" s="144">
        <f>IF(D41&gt;38,'DATOS REFERENCIALES'!$D$10,'DATOS REFERENCIALES'!$E$10*D41)</f>
        <v>0</v>
      </c>
      <c r="AC41" s="673">
        <f>IF(C41&lt;12,IF(D41&gt;'DATOS REFERENCIALES'!$J$17,'DATOS REFERENCIALES'!$D$17,('DATOS REFERENCIALES'!$E$17*D41)),0)</f>
        <v>873.52631578947364</v>
      </c>
      <c r="AD41" s="150">
        <f>IF(D41&gt;41,IF((('DATOS REFERENCIALES'!$D$9)-((T41)-Z41+(AB41)+(AC41)))&lt;0,0,((('DATOS REFERENCIALES'!$D$9)-((T41)-(Z41)+(AB41)+(AC41))))),IF((('DATOS REFERENCIALES'!$E$9*D41)-(((T41)-Z41+(AB41)+(AC41))))&lt;0,0,('DATOS REFERENCIALES'!$E$9*D41)-((T41)-(Z41)+(AB41)+(AC41))))</f>
        <v>670.28588418421032</v>
      </c>
      <c r="AE41" s="148">
        <f t="shared" si="9"/>
        <v>3177.75</v>
      </c>
      <c r="AF41" s="90">
        <f>IF(D41&gt;30,'DATOS REFERENCIALES'!$D$13,('DATOS REFERENCIALES'!$E$13*D41))</f>
        <v>342.73333333333335</v>
      </c>
      <c r="AG41" s="646"/>
      <c r="AH41" s="649"/>
      <c r="AI41" s="651">
        <f>IF(D41&gt;'DATOS REFERENCIALES'!$J$16,'DATOS REFERENCIALES'!$D$16,'DATOS REFERENCIALES'!$E$16*D41)</f>
        <v>150</v>
      </c>
      <c r="AJ41" s="78">
        <f>IF(D41&gt;'DATOS REFERENCIALES'!$J$12,'DATOS REFERENCIALES'!$D$12,'DATOS REFERENCIALES'!$E$12*D41)</f>
        <v>446.6</v>
      </c>
      <c r="AK41" s="127">
        <f t="shared" si="11"/>
        <v>4117.0833333333339</v>
      </c>
      <c r="AL41" s="17"/>
      <c r="AM41" s="17"/>
      <c r="AQ41" s="8"/>
    </row>
    <row r="42" spans="1:43" s="1" customFormat="1" ht="21.75" customHeight="1" thickBot="1" x14ac:dyDescent="0.3">
      <c r="A42" s="56">
        <v>6536</v>
      </c>
      <c r="B42" s="217" t="s">
        <v>95</v>
      </c>
      <c r="C42" s="53">
        <v>0</v>
      </c>
      <c r="D42" s="24">
        <v>1</v>
      </c>
      <c r="E42" s="174"/>
      <c r="F42" s="53"/>
      <c r="G42" s="65">
        <v>56</v>
      </c>
      <c r="H42" s="108">
        <f t="shared" si="0"/>
        <v>56</v>
      </c>
      <c r="I42" s="108"/>
      <c r="J42" s="108"/>
      <c r="K42" s="89">
        <f>(H42*'DATOS REFERENCIALES'!$C$4)*D42</f>
        <v>1063.57944</v>
      </c>
      <c r="L42" s="89"/>
      <c r="M42" s="89"/>
      <c r="N42" s="79">
        <f>LOOKUP(C42,'TABLA ANTIG.'!$A$4:$A$39,'TABLA ANTIG.'!$B$4:$B$39)*(K42)</f>
        <v>0</v>
      </c>
      <c r="O42" s="98">
        <f t="shared" si="1"/>
        <v>106.357944</v>
      </c>
      <c r="P42" s="653">
        <f>IF(D42&gt;38,'DATOS REFERENCIALES'!$D$8,'DATOS REFERENCIALES'!$E$8*D42)</f>
        <v>701.21052631578948</v>
      </c>
      <c r="Q42" s="128">
        <f>LOOKUP(C42,'TABLA ANTIG.'!$A$4:$A$39,'TABLA ANTIG.'!$B$4:$B$39)*(P42)</f>
        <v>0</v>
      </c>
      <c r="R42" s="98">
        <f t="shared" si="2"/>
        <v>264.71849494736841</v>
      </c>
      <c r="S42" s="504">
        <f>IF(C42&gt;11,IF(D42&gt;'DATOS REFERENCIALES'!$J$18,'DATOS REFERENCIALES'!$D$18,'DATOS REFERENCIALES'!$D$18/'DATOS REFERENCIALES'!$J$18*D42),0)</f>
        <v>0</v>
      </c>
      <c r="T42" s="197">
        <f t="shared" si="10"/>
        <v>2135.866405263158</v>
      </c>
      <c r="U42" s="79">
        <f t="shared" si="3"/>
        <v>234.94530457894737</v>
      </c>
      <c r="V42" s="79">
        <f t="shared" si="4"/>
        <v>64.075992157894731</v>
      </c>
      <c r="W42" s="79">
        <f t="shared" si="4"/>
        <v>64.075992157894731</v>
      </c>
      <c r="X42" s="79">
        <f t="shared" si="5"/>
        <v>42.717328105263157</v>
      </c>
      <c r="Y42" s="79">
        <f t="shared" si="6"/>
        <v>96.113988236842104</v>
      </c>
      <c r="Z42" s="28">
        <f t="shared" si="7"/>
        <v>501.92860523684209</v>
      </c>
      <c r="AA42" s="147">
        <f t="shared" si="8"/>
        <v>1633.9378000263159</v>
      </c>
      <c r="AB42" s="502">
        <f>IF(D42&gt;38,'DATOS REFERENCIALES'!$D$10,'DATOS REFERENCIALES'!$E$10*D42)</f>
        <v>0</v>
      </c>
      <c r="AC42" s="585">
        <f>IF(C42&lt;12,IF(D42&gt;'DATOS REFERENCIALES'!$J$17,'DATOS REFERENCIALES'!$D$17,('DATOS REFERENCIALES'!$E$17*D42)),0)</f>
        <v>873.52631578947364</v>
      </c>
      <c r="AD42" s="128">
        <f>IF(D42&gt;41,IF((('DATOS REFERENCIALES'!$D$9)-((T42)-Z42+(AB42)+(AC42)))&lt;0,0,((('DATOS REFERENCIALES'!$D$9)-((T42)-(Z42)+(AB42)+(AC42))))),IF((('DATOS REFERENCIALES'!$E$9*D42)-(((T42)-Z42+(AB42)+(AC42))))&lt;0,0,('DATOS REFERENCIALES'!$E$9*D42)-((T42)-(Z42)+(AB42)+(AC42))))</f>
        <v>670.28588418421032</v>
      </c>
      <c r="AE42" s="596">
        <f t="shared" si="9"/>
        <v>3177.75</v>
      </c>
      <c r="AF42" s="91">
        <f>IF(D42&gt;30,'DATOS REFERENCIALES'!$D$13,('DATOS REFERENCIALES'!$E$13*D42))</f>
        <v>342.73333333333335</v>
      </c>
      <c r="AG42" s="647"/>
      <c r="AH42" s="650"/>
      <c r="AI42" s="593">
        <f>IF(D42&gt;'DATOS REFERENCIALES'!$J$16,'DATOS REFERENCIALES'!$D$16,'DATOS REFERENCIALES'!$E$16*D42)</f>
        <v>150</v>
      </c>
      <c r="AJ42" s="79">
        <f>IF(D42&gt;'DATOS REFERENCIALES'!$J$12,'DATOS REFERENCIALES'!$D$12,'DATOS REFERENCIALES'!$E$12*D42)</f>
        <v>446.6</v>
      </c>
      <c r="AK42" s="128">
        <f t="shared" si="11"/>
        <v>4117.0833333333339</v>
      </c>
      <c r="AL42" s="17"/>
      <c r="AM42" s="17"/>
      <c r="AQ42" s="8"/>
    </row>
    <row r="43" spans="1:43" s="1" customFormat="1" ht="18.75" customHeight="1" x14ac:dyDescent="0.25">
      <c r="A43" s="11" t="s">
        <v>49</v>
      </c>
      <c r="B43" s="4" t="s">
        <v>60</v>
      </c>
      <c r="C43" s="15"/>
      <c r="D43" s="15"/>
      <c r="E43" s="15"/>
      <c r="F43" s="15"/>
      <c r="G43" s="18"/>
      <c r="H43" s="18"/>
      <c r="I43" s="18"/>
      <c r="J43" s="18"/>
      <c r="K43" s="19"/>
      <c r="L43" s="19"/>
      <c r="M43" s="19"/>
      <c r="N43" s="20"/>
      <c r="O43" s="20"/>
      <c r="P43" s="19"/>
      <c r="Q43" s="19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13"/>
      <c r="AC43" s="516"/>
      <c r="AD43" s="20"/>
      <c r="AE43" s="13"/>
      <c r="AF43" s="13"/>
      <c r="AG43" s="13"/>
      <c r="AH43" s="13"/>
      <c r="AI43" s="516"/>
      <c r="AJ43" s="13"/>
      <c r="AK43" s="13"/>
      <c r="AL43" s="17"/>
      <c r="AM43" s="17"/>
      <c r="AQ43" s="8"/>
    </row>
  </sheetData>
  <mergeCells count="44">
    <mergeCell ref="AK22:AK23"/>
    <mergeCell ref="AK11:AK12"/>
    <mergeCell ref="AK13:AK14"/>
    <mergeCell ref="AK15:AK16"/>
    <mergeCell ref="AK17:AK18"/>
    <mergeCell ref="AK19:AK20"/>
    <mergeCell ref="AD8:AK8"/>
    <mergeCell ref="AK9:AK10"/>
    <mergeCell ref="AJ9:AJ10"/>
    <mergeCell ref="AE9:AE10"/>
    <mergeCell ref="AC9:AC10"/>
    <mergeCell ref="AI9:AI10"/>
    <mergeCell ref="K3:AA5"/>
    <mergeCell ref="U9:Y9"/>
    <mergeCell ref="AB9:AB10"/>
    <mergeCell ref="AD9:AD10"/>
    <mergeCell ref="L9:L10"/>
    <mergeCell ref="M9:M10"/>
    <mergeCell ref="A6:AK6"/>
    <mergeCell ref="K9:K10"/>
    <mergeCell ref="AH9:AH10"/>
    <mergeCell ref="Z9:Z10"/>
    <mergeCell ref="A7:AK7"/>
    <mergeCell ref="D9:D10"/>
    <mergeCell ref="T9:T10"/>
    <mergeCell ref="A8:D8"/>
    <mergeCell ref="AA9:AA10"/>
    <mergeCell ref="AF9:AF10"/>
    <mergeCell ref="Q9:Q10"/>
    <mergeCell ref="O9:O10"/>
    <mergeCell ref="AG9:AG10"/>
    <mergeCell ref="S9:S10"/>
    <mergeCell ref="A9:A10"/>
    <mergeCell ref="P9:P10"/>
    <mergeCell ref="N9:N10"/>
    <mergeCell ref="B9:B10"/>
    <mergeCell ref="R9:R10"/>
    <mergeCell ref="E9:E10"/>
    <mergeCell ref="F9:F10"/>
    <mergeCell ref="G9:G10"/>
    <mergeCell ref="H9:H10"/>
    <mergeCell ref="C9:C10"/>
    <mergeCell ref="J9:J10"/>
    <mergeCell ref="I9:I10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300-000000000000}">
          <x14:formula1>
            <xm:f>'DATOS REFERENCIALES'!$C$39:$C$41</xm:f>
          </x14:formula1>
          <xm:sqref>J18 J12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63"/>
  <sheetViews>
    <sheetView zoomScale="66" zoomScaleNormal="66" workbookViewId="0">
      <selection activeCell="A7" sqref="A7:AK7"/>
    </sheetView>
  </sheetViews>
  <sheetFormatPr baseColWidth="10" defaultRowHeight="13.2" x14ac:dyDescent="0.25"/>
  <cols>
    <col min="1" max="1" width="8.6640625" bestFit="1" customWidth="1"/>
    <col min="2" max="2" width="39.5546875" bestFit="1" customWidth="1"/>
    <col min="4" max="4" width="10.109375" customWidth="1"/>
    <col min="5" max="5" width="13.109375" hidden="1" customWidth="1"/>
    <col min="6" max="7" width="0" hidden="1" customWidth="1"/>
    <col min="9" max="9" width="14" customWidth="1"/>
    <col min="10" max="10" width="16.77734375" customWidth="1"/>
    <col min="11" max="11" width="15.33203125" customWidth="1"/>
    <col min="12" max="12" width="18" customWidth="1"/>
    <col min="13" max="13" width="19.88671875" customWidth="1"/>
    <col min="14" max="14" width="17.44140625" customWidth="1"/>
    <col min="15" max="15" width="18.5546875" customWidth="1"/>
    <col min="16" max="16" width="16.6640625" customWidth="1"/>
    <col min="17" max="17" width="16.5546875" customWidth="1"/>
    <col min="18" max="18" width="11.44140625" hidden="1" customWidth="1"/>
    <col min="19" max="19" width="14.6640625" customWidth="1"/>
    <col min="20" max="20" width="15" customWidth="1"/>
    <col min="21" max="21" width="14" customWidth="1"/>
    <col min="22" max="22" width="14.109375" customWidth="1"/>
    <col min="23" max="23" width="15.33203125" customWidth="1"/>
    <col min="24" max="24" width="14" customWidth="1"/>
    <col min="25" max="25" width="13.5546875" customWidth="1"/>
    <col min="26" max="26" width="15.109375" customWidth="1"/>
    <col min="27" max="27" width="15.6640625" customWidth="1"/>
    <col min="28" max="28" width="17.6640625" hidden="1" customWidth="1"/>
    <col min="29" max="29" width="17.6640625" customWidth="1"/>
    <col min="30" max="30" width="15.33203125" customWidth="1"/>
    <col min="31" max="31" width="15.44140625" customWidth="1"/>
    <col min="32" max="32" width="14.44140625" customWidth="1"/>
    <col min="33" max="33" width="16.44140625" hidden="1" customWidth="1"/>
    <col min="34" max="34" width="14.44140625" hidden="1" customWidth="1"/>
    <col min="35" max="35" width="16.77734375" customWidth="1"/>
    <col min="36" max="36" width="14.44140625" customWidth="1"/>
    <col min="37" max="37" width="15.5546875" customWidth="1"/>
  </cols>
  <sheetData>
    <row r="1" spans="1:43" s="1" customFormat="1" x14ac:dyDescent="0.25">
      <c r="A1" s="10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3"/>
      <c r="O1" s="13"/>
      <c r="P1" s="14"/>
      <c r="Q1" s="14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516"/>
      <c r="AD1" s="13"/>
      <c r="AE1" s="13"/>
      <c r="AF1" s="13"/>
      <c r="AG1" s="13"/>
      <c r="AH1" s="13"/>
      <c r="AI1" s="516"/>
      <c r="AJ1" s="13"/>
      <c r="AK1" s="13"/>
    </row>
    <row r="2" spans="1:43" s="1" customFormat="1" x14ac:dyDescent="0.25">
      <c r="A2" s="10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3"/>
      <c r="O2" s="13"/>
      <c r="P2" s="14"/>
      <c r="Q2" s="14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516"/>
      <c r="AD2" s="13"/>
      <c r="AE2" s="13"/>
      <c r="AF2" s="13"/>
      <c r="AG2" s="13"/>
      <c r="AH2" s="13"/>
      <c r="AI2" s="516"/>
      <c r="AJ2" s="13"/>
      <c r="AK2" s="13"/>
    </row>
    <row r="3" spans="1:43" s="1" customFormat="1" ht="12.75" customHeight="1" x14ac:dyDescent="0.25">
      <c r="A3" s="10"/>
      <c r="C3" s="13"/>
      <c r="D3" s="13"/>
      <c r="E3" s="13"/>
      <c r="F3" s="13"/>
      <c r="G3" s="13"/>
      <c r="H3" s="13"/>
      <c r="I3" s="13"/>
      <c r="J3" s="13"/>
      <c r="K3" s="725" t="s">
        <v>82</v>
      </c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13"/>
      <c r="AC3" s="516"/>
      <c r="AD3" s="13"/>
      <c r="AE3" s="13"/>
      <c r="AF3" s="13"/>
      <c r="AG3" s="13"/>
      <c r="AH3" s="13"/>
      <c r="AI3" s="516"/>
      <c r="AJ3" s="13"/>
      <c r="AK3" s="13"/>
    </row>
    <row r="4" spans="1:43" s="1" customFormat="1" ht="12.75" customHeight="1" x14ac:dyDescent="0.25">
      <c r="A4" s="10"/>
      <c r="C4" s="13"/>
      <c r="D4" s="13"/>
      <c r="E4" s="13"/>
      <c r="F4" s="13"/>
      <c r="G4" s="13"/>
      <c r="H4" s="13"/>
      <c r="I4" s="13"/>
      <c r="J4" s="13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13"/>
      <c r="AC4" s="516"/>
      <c r="AD4" s="13"/>
      <c r="AE4" s="13"/>
      <c r="AF4" s="13"/>
      <c r="AG4" s="13"/>
      <c r="AH4" s="13"/>
      <c r="AI4" s="516"/>
      <c r="AJ4" s="13"/>
      <c r="AK4" s="13"/>
    </row>
    <row r="5" spans="1:43" s="1" customFormat="1" ht="12.75" customHeight="1" x14ac:dyDescent="0.25">
      <c r="A5" s="10"/>
      <c r="C5" s="13"/>
      <c r="D5" s="13"/>
      <c r="E5" s="13"/>
      <c r="F5" s="13"/>
      <c r="G5" s="13"/>
      <c r="H5" s="13"/>
      <c r="I5" s="13"/>
      <c r="J5" s="13"/>
      <c r="K5" s="725"/>
      <c r="L5" s="725"/>
      <c r="M5" s="725"/>
      <c r="N5" s="725"/>
      <c r="O5" s="725"/>
      <c r="P5" s="725"/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13"/>
      <c r="AC5" s="516"/>
      <c r="AD5" s="13"/>
      <c r="AE5" s="13"/>
      <c r="AF5" s="13"/>
      <c r="AG5" s="13"/>
      <c r="AH5" s="13"/>
      <c r="AI5" s="516"/>
      <c r="AJ5" s="13"/>
      <c r="AK5" s="13"/>
    </row>
    <row r="6" spans="1:43" s="1" customFormat="1" ht="28.2" x14ac:dyDescent="0.5">
      <c r="A6" s="728" t="s">
        <v>202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P6" s="728"/>
      <c r="Q6" s="728"/>
      <c r="R6" s="728"/>
      <c r="S6" s="728"/>
      <c r="T6" s="728"/>
      <c r="U6" s="728"/>
      <c r="V6" s="728"/>
      <c r="W6" s="728"/>
      <c r="X6" s="728"/>
      <c r="Y6" s="728"/>
      <c r="Z6" s="728"/>
      <c r="AA6" s="728"/>
      <c r="AB6" s="728"/>
      <c r="AC6" s="728"/>
      <c r="AD6" s="728"/>
      <c r="AE6" s="728"/>
      <c r="AF6" s="728"/>
      <c r="AG6" s="728"/>
      <c r="AH6" s="728"/>
      <c r="AI6" s="728"/>
      <c r="AJ6" s="728"/>
      <c r="AK6" s="728"/>
    </row>
    <row r="7" spans="1:43" s="1" customFormat="1" ht="18" thickBot="1" x14ac:dyDescent="0.35">
      <c r="A7" s="794" t="s">
        <v>83</v>
      </c>
      <c r="B7" s="795"/>
      <c r="C7" s="795"/>
      <c r="D7" s="795"/>
      <c r="E7" s="795"/>
      <c r="F7" s="795"/>
      <c r="G7" s="795"/>
      <c r="H7" s="795"/>
      <c r="I7" s="795"/>
      <c r="J7" s="795"/>
      <c r="K7" s="795"/>
      <c r="L7" s="795"/>
      <c r="M7" s="795"/>
      <c r="N7" s="795"/>
      <c r="O7" s="795"/>
      <c r="P7" s="795"/>
      <c r="Q7" s="795"/>
      <c r="R7" s="795"/>
      <c r="S7" s="795"/>
      <c r="T7" s="795"/>
      <c r="U7" s="795"/>
      <c r="V7" s="795"/>
      <c r="W7" s="795"/>
      <c r="X7" s="795"/>
      <c r="Y7" s="795"/>
      <c r="Z7" s="795"/>
      <c r="AA7" s="795"/>
      <c r="AB7" s="795"/>
      <c r="AC7" s="795"/>
      <c r="AD7" s="795"/>
      <c r="AE7" s="795"/>
      <c r="AF7" s="795"/>
      <c r="AG7" s="795"/>
      <c r="AH7" s="795"/>
      <c r="AI7" s="795"/>
      <c r="AJ7" s="795"/>
      <c r="AK7" s="795"/>
    </row>
    <row r="8" spans="1:43" ht="21" thickBot="1" x14ac:dyDescent="0.4">
      <c r="A8" s="804" t="s">
        <v>130</v>
      </c>
      <c r="B8" s="805"/>
      <c r="C8" s="805"/>
      <c r="D8" s="805"/>
      <c r="E8" s="805"/>
      <c r="F8" s="805"/>
      <c r="G8" s="805"/>
      <c r="H8" s="805"/>
      <c r="I8" s="805"/>
      <c r="J8" s="805"/>
      <c r="K8" s="805"/>
      <c r="L8" s="805"/>
      <c r="M8" s="805"/>
      <c r="N8" s="805"/>
      <c r="O8" s="805"/>
      <c r="P8" s="805"/>
      <c r="Q8" s="805"/>
      <c r="R8" s="805"/>
      <c r="S8" s="805"/>
      <c r="T8" s="805"/>
      <c r="U8" s="805"/>
      <c r="V8" s="805"/>
      <c r="W8" s="805"/>
      <c r="X8" s="805"/>
      <c r="Y8" s="805"/>
      <c r="Z8" s="805"/>
      <c r="AA8" s="805"/>
      <c r="AB8" s="805"/>
      <c r="AC8" s="805"/>
      <c r="AD8" s="805"/>
      <c r="AE8" s="805"/>
      <c r="AF8" s="805"/>
      <c r="AG8" s="805"/>
      <c r="AH8" s="805"/>
      <c r="AI8" s="805"/>
      <c r="AJ8" s="805"/>
      <c r="AK8" s="805"/>
    </row>
    <row r="9" spans="1:43" s="2" customFormat="1" ht="26.25" customHeight="1" thickBot="1" x14ac:dyDescent="0.3">
      <c r="A9" s="771" t="s">
        <v>1</v>
      </c>
      <c r="B9" s="771" t="s">
        <v>0</v>
      </c>
      <c r="C9" s="732" t="s">
        <v>77</v>
      </c>
      <c r="D9" s="732" t="s">
        <v>117</v>
      </c>
      <c r="E9" s="732" t="s">
        <v>125</v>
      </c>
      <c r="F9" s="732" t="s">
        <v>111</v>
      </c>
      <c r="G9" s="732" t="s">
        <v>102</v>
      </c>
      <c r="H9" s="732" t="s">
        <v>79</v>
      </c>
      <c r="I9" s="732" t="s">
        <v>143</v>
      </c>
      <c r="J9" s="726" t="s">
        <v>142</v>
      </c>
      <c r="K9" s="726" t="s">
        <v>119</v>
      </c>
      <c r="L9" s="726" t="s">
        <v>141</v>
      </c>
      <c r="M9" s="726" t="s">
        <v>142</v>
      </c>
      <c r="N9" s="734" t="s">
        <v>85</v>
      </c>
      <c r="O9" s="734" t="s">
        <v>118</v>
      </c>
      <c r="P9" s="736" t="s">
        <v>86</v>
      </c>
      <c r="Q9" s="734" t="s">
        <v>101</v>
      </c>
      <c r="R9" s="734" t="s">
        <v>84</v>
      </c>
      <c r="S9" s="736" t="s">
        <v>198</v>
      </c>
      <c r="T9" s="734" t="s">
        <v>69</v>
      </c>
      <c r="U9" s="738" t="s">
        <v>59</v>
      </c>
      <c r="V9" s="738"/>
      <c r="W9" s="738"/>
      <c r="X9" s="738"/>
      <c r="Y9" s="738"/>
      <c r="Z9" s="732" t="s">
        <v>68</v>
      </c>
      <c r="AA9" s="732" t="s">
        <v>89</v>
      </c>
      <c r="AB9" s="732" t="s">
        <v>88</v>
      </c>
      <c r="AC9" s="736" t="s">
        <v>199</v>
      </c>
      <c r="AD9" s="732" t="s">
        <v>87</v>
      </c>
      <c r="AE9" s="732" t="s">
        <v>91</v>
      </c>
      <c r="AF9" s="732" t="s">
        <v>90</v>
      </c>
      <c r="AG9" s="732" t="s">
        <v>169</v>
      </c>
      <c r="AH9" s="732" t="s">
        <v>182</v>
      </c>
      <c r="AI9" s="736" t="s">
        <v>197</v>
      </c>
      <c r="AJ9" s="736" t="s">
        <v>195</v>
      </c>
      <c r="AK9" s="732" t="s">
        <v>92</v>
      </c>
      <c r="AL9" s="17"/>
      <c r="AM9" s="17"/>
    </row>
    <row r="10" spans="1:43" s="2" customFormat="1" ht="87.75" customHeight="1" thickBot="1" x14ac:dyDescent="0.3">
      <c r="A10" s="772"/>
      <c r="B10" s="772"/>
      <c r="C10" s="733"/>
      <c r="D10" s="733"/>
      <c r="E10" s="733"/>
      <c r="F10" s="733"/>
      <c r="G10" s="733"/>
      <c r="H10" s="733"/>
      <c r="I10" s="733"/>
      <c r="J10" s="727"/>
      <c r="K10" s="727"/>
      <c r="L10" s="727"/>
      <c r="M10" s="727"/>
      <c r="N10" s="735"/>
      <c r="O10" s="735"/>
      <c r="P10" s="737"/>
      <c r="Q10" s="735"/>
      <c r="R10" s="735"/>
      <c r="S10" s="737"/>
      <c r="T10" s="735"/>
      <c r="U10" s="572" t="s">
        <v>138</v>
      </c>
      <c r="V10" s="572" t="s">
        <v>61</v>
      </c>
      <c r="W10" s="572" t="s">
        <v>62</v>
      </c>
      <c r="X10" s="572" t="s">
        <v>63</v>
      </c>
      <c r="Y10" s="572" t="s">
        <v>64</v>
      </c>
      <c r="Z10" s="733"/>
      <c r="AA10" s="733"/>
      <c r="AB10" s="733"/>
      <c r="AC10" s="737"/>
      <c r="AD10" s="733"/>
      <c r="AE10" s="733"/>
      <c r="AF10" s="733"/>
      <c r="AG10" s="733"/>
      <c r="AH10" s="733"/>
      <c r="AI10" s="737"/>
      <c r="AJ10" s="737"/>
      <c r="AK10" s="733"/>
      <c r="AL10" s="17"/>
      <c r="AM10" s="17"/>
    </row>
    <row r="11" spans="1:43" s="1" customFormat="1" ht="21.75" customHeight="1" thickBot="1" x14ac:dyDescent="0.3">
      <c r="A11" s="655">
        <v>572</v>
      </c>
      <c r="B11" s="656" t="s">
        <v>81</v>
      </c>
      <c r="C11" s="622">
        <v>0</v>
      </c>
      <c r="D11" s="622"/>
      <c r="E11" s="622"/>
      <c r="F11" s="622"/>
      <c r="G11" s="657">
        <v>810</v>
      </c>
      <c r="H11" s="628">
        <f t="shared" ref="H11:H29" si="0">SUM(G11:G11)</f>
        <v>810</v>
      </c>
      <c r="I11" s="628"/>
      <c r="J11" s="628"/>
      <c r="K11" s="629">
        <f>H11*'DATOS REFERENCIALES'!$C$4</f>
        <v>15383.9169</v>
      </c>
      <c r="L11" s="658"/>
      <c r="M11" s="658"/>
      <c r="N11" s="659">
        <f>LOOKUP(C11,'TABLA ANTIG.'!$A$4:$A$39,'TABLA ANTIG.'!$B$4:$B$39)*(K11)</f>
        <v>0</v>
      </c>
      <c r="O11" s="630">
        <f t="shared" ref="O11:O29" si="1">K11*0.1</f>
        <v>1538.3916900000002</v>
      </c>
      <c r="P11" s="631">
        <f>IF(H11&gt;1134,'DATOS REFERENCIALES'!$C$8,IF(('DATOS REFERENCIALES'!$C$8/1135*H11)&lt;'DATOS REFERENCIALES'!$F$8,'DATOS REFERENCIALES'!$F$8))</f>
        <v>12239</v>
      </c>
      <c r="Q11" s="632">
        <f>LOOKUP(C11,'TABLA ANTIG.'!$A$4:$A$39,'TABLA ANTIG.'!$B$4:$B$39)*(P11)</f>
        <v>0</v>
      </c>
      <c r="R11" s="586">
        <v>0</v>
      </c>
      <c r="S11" s="586">
        <f>IF(C11&gt;11,IF(H11&gt;1134,'DATOS REFERENCIALES'!$C$18,'DATOS REFERENCIALES'!$C$18/1135*H11),0)</f>
        <v>0</v>
      </c>
      <c r="T11" s="630">
        <f>K11+N11+O11+P11+Q11+R11+S11</f>
        <v>29161.308590000001</v>
      </c>
      <c r="U11" s="586">
        <f t="shared" ref="U11:U29" si="2">$T11*11%</f>
        <v>3207.7439448999999</v>
      </c>
      <c r="V11" s="586">
        <f t="shared" ref="V11:W29" si="3">$T11*3%</f>
        <v>874.83925769999996</v>
      </c>
      <c r="W11" s="586">
        <f t="shared" si="3"/>
        <v>874.83925769999996</v>
      </c>
      <c r="X11" s="586">
        <f t="shared" ref="X11:X29" si="4">$T11*2%</f>
        <v>583.22617179999997</v>
      </c>
      <c r="Y11" s="586">
        <f t="shared" ref="Y11:Y29" si="5">$T11*4.5%</f>
        <v>1312.2588865499999</v>
      </c>
      <c r="Z11" s="630">
        <f t="shared" ref="Z11:Z29" si="6">SUM(U11:Y11)</f>
        <v>6852.9075186500004</v>
      </c>
      <c r="AA11" s="633">
        <f t="shared" ref="AA11:AA29" si="7">T11-Z11</f>
        <v>22308.401071349999</v>
      </c>
      <c r="AB11" s="633">
        <f>'DATOS REFERENCIALES'!$C$10</f>
        <v>0</v>
      </c>
      <c r="AC11" s="105">
        <f>IF(C11&lt;12,IF(H11&gt;1134,'DATOS REFERENCIALES'!$C$17,IF(('DATOS REFERENCIALES'!$C$17/1135*H11)&lt;'DATOS REFERENCIALES'!$F$17,'DATOS REFERENCIALES'!$F$17,('DATOS REFERENCIALES'!$C$17/1135*H11))),0)</f>
        <v>15925</v>
      </c>
      <c r="AD11" s="632">
        <f>IF((IF(H11&gt;1134,('DATOS REFERENCIALES'!$C$9-(T11-U11-V11-W11-X11-Y11+AB11+AC11-L11-L11*0.235)),(('DATOS REFERENCIALES'!$C$9/1135)*H11)-(K11+N11+O11+P11+Q11+S11-U11-V11-W11-X11-Y11+AB11+AC11-(L11-L11*0.235))))&lt;0,0,IF(H11&gt;1134,(('DATOS REFERENCIALES'!$C$9)-(T11-U11-V11-W11-X11-Y11+AB11+AC11-(L11-L11*0.235))),(('DATOS REFERENCIALES'!$C$9/1135)*H11)-(K11+N11+O11+P11+Q11+S11-U11-V11-W11-X11-Y11+AB11+AC11-(L11-L11*0.235))))</f>
        <v>7123.0306467116752</v>
      </c>
      <c r="AE11" s="632">
        <f t="shared" ref="AE11:AE29" si="8">SUM(AA11:AD11)</f>
        <v>45356.431718061678</v>
      </c>
      <c r="AF11" s="634">
        <f>'DATOS REFERENCIALES'!$C$13</f>
        <v>5141</v>
      </c>
      <c r="AG11" s="661"/>
      <c r="AH11" s="662"/>
      <c r="AI11" s="634">
        <f>'DATOS REFERENCIALES'!$C$16</f>
        <v>2250</v>
      </c>
      <c r="AJ11" s="105">
        <f>'DATOS REFERENCIALES'!$C$12</f>
        <v>6699</v>
      </c>
      <c r="AK11" s="105">
        <f>+AE11+AF11+AI11+AJ11</f>
        <v>59446.431718061678</v>
      </c>
      <c r="AL11" s="17"/>
      <c r="AM11" s="17"/>
      <c r="AQ11" s="8"/>
    </row>
    <row r="12" spans="1:43" s="1" customFormat="1" ht="21.75" customHeight="1" x14ac:dyDescent="0.25">
      <c r="A12" s="333">
        <v>603</v>
      </c>
      <c r="B12" s="373" t="s">
        <v>23</v>
      </c>
      <c r="C12" s="305">
        <v>0</v>
      </c>
      <c r="D12" s="305"/>
      <c r="E12" s="305"/>
      <c r="F12" s="305"/>
      <c r="G12" s="434">
        <v>3128</v>
      </c>
      <c r="H12" s="404">
        <f>SUM(G12:G12)</f>
        <v>3128</v>
      </c>
      <c r="I12" s="533"/>
      <c r="J12" s="404"/>
      <c r="K12" s="310">
        <f>H12*'DATOS REFERENCIALES'!$C$4</f>
        <v>59408.508719999998</v>
      </c>
      <c r="L12" s="335"/>
      <c r="M12" s="335"/>
      <c r="N12" s="315">
        <f>LOOKUP(C12,'TABLA ANTIG.'!$A$4:$A$39,'TABLA ANTIG.'!$B$4:$B$39)*(K12)</f>
        <v>0</v>
      </c>
      <c r="O12" s="312">
        <f t="shared" si="1"/>
        <v>5940.850872</v>
      </c>
      <c r="P12" s="310">
        <f>IF(H12&gt;1134,'DATOS REFERENCIALES'!$C$8,IF(('DATOS REFERENCIALES'!$C$8/1135*H12)&lt;'DATOS REFERENCIALES'!$F$8,'DATOS REFERENCIALES'!$F$8))</f>
        <v>13323</v>
      </c>
      <c r="Q12" s="316">
        <f>LOOKUP(C12,'TABLA ANTIG.'!$A$4:$A$39,'TABLA ANTIG.'!$B$4:$B$39)*(P12)</f>
        <v>0</v>
      </c>
      <c r="R12" s="312">
        <v>0</v>
      </c>
      <c r="S12" s="312">
        <f>IF(C12&gt;11,IF(H12&gt;1134,'DATOS REFERENCIALES'!$C$18,'DATOS REFERENCIALES'!$C$18/1135*H12),0)</f>
        <v>0</v>
      </c>
      <c r="T12" s="312">
        <f>K12+N12+O12+P12+Q12+R12+S12</f>
        <v>78672.359591999993</v>
      </c>
      <c r="U12" s="312">
        <f t="shared" si="2"/>
        <v>8653.95955512</v>
      </c>
      <c r="V12" s="312">
        <f t="shared" si="3"/>
        <v>2360.1707877599997</v>
      </c>
      <c r="W12" s="312">
        <f t="shared" si="3"/>
        <v>2360.1707877599997</v>
      </c>
      <c r="X12" s="312">
        <f t="shared" si="4"/>
        <v>1573.44719184</v>
      </c>
      <c r="Y12" s="312">
        <f t="shared" si="5"/>
        <v>3540.2561816399998</v>
      </c>
      <c r="Z12" s="312">
        <f t="shared" si="6"/>
        <v>18488.004504119999</v>
      </c>
      <c r="AA12" s="315">
        <f t="shared" si="7"/>
        <v>60184.355087879994</v>
      </c>
      <c r="AB12" s="315">
        <f>'DATOS REFERENCIALES'!$C$10</f>
        <v>0</v>
      </c>
      <c r="AC12" s="312">
        <f>IF(C12&lt;12,IF(H12&gt;1134,'DATOS REFERENCIALES'!$C$17,IF(('DATOS REFERENCIALES'!$C$17/1135*H12)&lt;'DATOS REFERENCIALES'!$F$17,'DATOS REFERENCIALES'!$F$17,('DATOS REFERENCIALES'!$C$17/1135*H12))),0)</f>
        <v>16597</v>
      </c>
      <c r="AD12" s="316">
        <f>IF((IF(H12&gt;1134,('DATOS REFERENCIALES'!$C$9-(T12-U12-V12-W12-X12-Y12+AB12+AC12-L12-L12*0.235)),(('DATOS REFERENCIALES'!$C$9/1135)*H12)-(K12+N12+O12+P12+Q12+S12-U12-V12-W12-X12-Y12+AB12+AC12-(L12-L12*0.235))))&lt;0,0,IF(H12&gt;1134,(('DATOS REFERENCIALES'!$C$9)-(T12-U12-V12-W12-X12-Y12+AB12+AC12-(L12-L12*0.235))),(('DATOS REFERENCIALES'!$C$9/1135)*H12)-(K12+N12+O12+P12+Q12+S12-U12-V12-W12-X12-Y12+AB12+AC12-(L12-L12*0.235))))</f>
        <v>0</v>
      </c>
      <c r="AE12" s="316">
        <f t="shared" si="8"/>
        <v>76781.355087879987</v>
      </c>
      <c r="AF12" s="317">
        <f>'DATOS REFERENCIALES'!$C$13</f>
        <v>5141</v>
      </c>
      <c r="AG12" s="663"/>
      <c r="AH12" s="314"/>
      <c r="AI12" s="671">
        <f>'DATOS REFERENCIALES'!$C$16</f>
        <v>2250</v>
      </c>
      <c r="AJ12" s="312">
        <f>'DATOS REFERENCIALES'!$C$12</f>
        <v>6699</v>
      </c>
      <c r="AK12" s="763">
        <f>+AE12+AE13+AF12+AI12+AJ12</f>
        <v>101369.72970633479</v>
      </c>
      <c r="AL12" s="17"/>
      <c r="AM12" s="17"/>
      <c r="AQ12" s="8"/>
    </row>
    <row r="13" spans="1:43" s="1" customFormat="1" ht="24.75" customHeight="1" thickBot="1" x14ac:dyDescent="0.3">
      <c r="A13" s="339">
        <v>603</v>
      </c>
      <c r="B13" s="375" t="s">
        <v>23</v>
      </c>
      <c r="C13" s="320">
        <f>IF(C12&gt;0,C12,0)</f>
        <v>0</v>
      </c>
      <c r="D13" s="320"/>
      <c r="E13" s="320"/>
      <c r="F13" s="320"/>
      <c r="G13" s="435"/>
      <c r="H13" s="436"/>
      <c r="I13" s="522">
        <f>H12*'DATOS REFERENCIALES'!$K$4/100</f>
        <v>469.2</v>
      </c>
      <c r="J13" s="606" t="s">
        <v>145</v>
      </c>
      <c r="K13" s="325"/>
      <c r="L13" s="325">
        <f>I13*'DATOS REFERENCIALES'!$C$4</f>
        <v>8911.2763080000004</v>
      </c>
      <c r="M13" s="325">
        <f>IF(J13='DATOS REFERENCIALES'!$C$31,K12*'DATOS REFERENCIALES'!$D$31,IF(J13='DATOS REFERENCIALES'!$C$32,('DATOS REFERENCIALES'!$D$32*K12),IF(J13='DATOS REFERENCIALES'!$C$33,('DATOS REFERENCIALES'!$D$33*K12),IF(J13='DATOS REFERENCIALES'!$C$34,('DATOS REFERENCIALES'!$D$34*K12),IF(J13='DATOS REFERENCIALES'!$C$35,('DATOS REFERENCIALES'!$D$35*K12),IF(J13='DATOS REFERENCIALES'!$C$36,('DATOS REFERENCIALES'!$D$36*K12),IF(J13='DATOS REFERENCIALES'!$C$37,('DATOS REFERENCIALES'!$D$37*K12),IF(J13='DATOS REFERENCIALES'!$C$38,('DATOS REFERENCIALES'!$D$38*K12),0))))))))</f>
        <v>3564.5105231999996</v>
      </c>
      <c r="N13" s="327">
        <f>LOOKUP(C13,'TABLA ANTIG.'!$A$4:$A$39,'TABLA ANTIG.'!$B$4:$B$39)*(L13+M13)</f>
        <v>0</v>
      </c>
      <c r="O13" s="327">
        <f>(L13+M13)*0.1</f>
        <v>1247.5786831200001</v>
      </c>
      <c r="P13" s="325"/>
      <c r="Q13" s="327"/>
      <c r="R13" s="327"/>
      <c r="S13" s="327"/>
      <c r="T13" s="327">
        <f>L13+M13+N13+O13+P13+Q13+R13</f>
        <v>13723.365514319999</v>
      </c>
      <c r="U13" s="330">
        <f t="shared" si="2"/>
        <v>1509.5702065752</v>
      </c>
      <c r="V13" s="327">
        <f t="shared" si="3"/>
        <v>411.70096542959999</v>
      </c>
      <c r="W13" s="330">
        <f t="shared" si="3"/>
        <v>411.70096542959999</v>
      </c>
      <c r="X13" s="327">
        <f>$T13*2%</f>
        <v>274.46731028639999</v>
      </c>
      <c r="Y13" s="327">
        <f t="shared" si="5"/>
        <v>617.55144814439996</v>
      </c>
      <c r="Z13" s="327">
        <f t="shared" si="6"/>
        <v>3224.9908958651995</v>
      </c>
      <c r="AA13" s="331">
        <f t="shared" si="7"/>
        <v>10498.3746184548</v>
      </c>
      <c r="AB13" s="330"/>
      <c r="AC13" s="327"/>
      <c r="AD13" s="331"/>
      <c r="AE13" s="326">
        <f t="shared" si="8"/>
        <v>10498.3746184548</v>
      </c>
      <c r="AF13" s="332"/>
      <c r="AG13" s="344"/>
      <c r="AH13" s="326"/>
      <c r="AI13" s="672"/>
      <c r="AJ13" s="327"/>
      <c r="AK13" s="764"/>
      <c r="AL13" s="17"/>
      <c r="AM13" s="17"/>
      <c r="AQ13" s="8"/>
    </row>
    <row r="14" spans="1:43" s="1" customFormat="1" ht="21.75" customHeight="1" x14ac:dyDescent="0.25">
      <c r="A14" s="363">
        <v>1515</v>
      </c>
      <c r="B14" s="244" t="s">
        <v>24</v>
      </c>
      <c r="C14" s="245">
        <v>0</v>
      </c>
      <c r="D14" s="245"/>
      <c r="E14" s="245"/>
      <c r="F14" s="245"/>
      <c r="G14" s="437">
        <v>2669</v>
      </c>
      <c r="H14" s="423">
        <f t="shared" si="0"/>
        <v>2669</v>
      </c>
      <c r="I14" s="535"/>
      <c r="J14" s="423"/>
      <c r="K14" s="247">
        <f>H14*'DATOS REFERENCIALES'!$C$4</f>
        <v>50690.955809999999</v>
      </c>
      <c r="L14" s="248"/>
      <c r="M14" s="248"/>
      <c r="N14" s="252">
        <f>LOOKUP(C14,'TABLA ANTIG.'!$A$4:$A$39,'TABLA ANTIG.'!$B$4:$B$39)*(K14)</f>
        <v>0</v>
      </c>
      <c r="O14" s="249">
        <f t="shared" si="1"/>
        <v>5069.0955810000005</v>
      </c>
      <c r="P14" s="250">
        <f>IF(H14&gt;1134,'DATOS REFERENCIALES'!$C$8,IF(('DATOS REFERENCIALES'!$C$8/1135*H14)&lt;'DATOS REFERENCIALES'!$F$8,'DATOS REFERENCIALES'!$F$8))</f>
        <v>13323</v>
      </c>
      <c r="Q14" s="251">
        <f>LOOKUP(C14,'TABLA ANTIG.'!$A$4:$A$39,'TABLA ANTIG.'!$B$4:$B$39)*(P14)</f>
        <v>0</v>
      </c>
      <c r="R14" s="249">
        <v>0</v>
      </c>
      <c r="S14" s="249">
        <f>IF(C14&gt;11,IF(H14&gt;1134,'DATOS REFERENCIALES'!$C$18,'DATOS REFERENCIALES'!$C$18/1135*H14),0)</f>
        <v>0</v>
      </c>
      <c r="T14" s="249">
        <f>K14+N14+O14+P14+Q14+R14+S14</f>
        <v>69083.051391000001</v>
      </c>
      <c r="U14" s="249">
        <f t="shared" si="2"/>
        <v>7599.1356530100002</v>
      </c>
      <c r="V14" s="249">
        <f t="shared" si="3"/>
        <v>2072.4915417299999</v>
      </c>
      <c r="W14" s="249">
        <f t="shared" si="3"/>
        <v>2072.4915417299999</v>
      </c>
      <c r="X14" s="249">
        <f t="shared" si="4"/>
        <v>1381.6610278200001</v>
      </c>
      <c r="Y14" s="249">
        <f t="shared" si="5"/>
        <v>3108.7373125949998</v>
      </c>
      <c r="Z14" s="249">
        <f t="shared" si="6"/>
        <v>16234.517076885</v>
      </c>
      <c r="AA14" s="252">
        <f t="shared" si="7"/>
        <v>52848.534314115001</v>
      </c>
      <c r="AB14" s="252">
        <f>'DATOS REFERENCIALES'!$C$10</f>
        <v>0</v>
      </c>
      <c r="AC14" s="249">
        <f>IF(C14&lt;12,IF(H14&gt;1134,'DATOS REFERENCIALES'!$C$17,IF(('DATOS REFERENCIALES'!$C$17/1135*H14)&lt;'DATOS REFERENCIALES'!$F$17,'DATOS REFERENCIALES'!$F$17,('DATOS REFERENCIALES'!$C$17/1135*H14))),0)</f>
        <v>16597</v>
      </c>
      <c r="AD14" s="251">
        <f>IF((IF(H14&gt;1134,('DATOS REFERENCIALES'!$C$9-(T14-U14-V14-W14-X14-Y14+AB14+AC14-L14-L14*0.235)),(('DATOS REFERENCIALES'!$C$9/1135)*H14)-(K14+N14+O14+P14+Q14+S14-U14-V14-W14-X14-Y14+AB14+AC14-(L14-L14*0.235))))&lt;0,0,IF(H14&gt;1134,(('DATOS REFERENCIALES'!$C$9)-(T14-U14-V14-W14-X14-Y14+AB14+AC14-(L14-L14*0.235))),(('DATOS REFERENCIALES'!$C$9/1135)*H14)-(K14+N14+O14+P14+Q14+S14-U14-V14-W14-X14-Y14+AB14+AC14-(L14-L14*0.235))))</f>
        <v>0</v>
      </c>
      <c r="AE14" s="251">
        <f t="shared" si="8"/>
        <v>69445.534314115008</v>
      </c>
      <c r="AF14" s="254">
        <f>'DATOS REFERENCIALES'!$C$13</f>
        <v>5141</v>
      </c>
      <c r="AG14" s="666"/>
      <c r="AH14" s="667"/>
      <c r="AI14" s="670">
        <f>'DATOS REFERENCIALES'!$C$16</f>
        <v>2250</v>
      </c>
      <c r="AJ14" s="249">
        <f>'DATOS REFERENCIALES'!$C$12</f>
        <v>6699</v>
      </c>
      <c r="AK14" s="765">
        <f>+AE14+AE15+AF14+AI14+AJ14</f>
        <v>89934.000211232255</v>
      </c>
      <c r="AL14" s="17"/>
      <c r="AM14" s="17"/>
      <c r="AQ14" s="8"/>
    </row>
    <row r="15" spans="1:43" s="1" customFormat="1" ht="21.75" customHeight="1" thickBot="1" x14ac:dyDescent="0.3">
      <c r="A15" s="367">
        <v>1515</v>
      </c>
      <c r="B15" s="384" t="s">
        <v>24</v>
      </c>
      <c r="C15" s="575">
        <f>IF(C14&gt;0,C14,0)</f>
        <v>0</v>
      </c>
      <c r="D15" s="296"/>
      <c r="E15" s="296"/>
      <c r="F15" s="296"/>
      <c r="G15" s="442"/>
      <c r="H15" s="443"/>
      <c r="I15" s="529">
        <f>H14*'DATOS REFERENCIALES'!$K$4/100</f>
        <v>400.35</v>
      </c>
      <c r="J15" s="444"/>
      <c r="K15" s="300"/>
      <c r="L15" s="300">
        <f>I15*'DATOS REFERENCIALES'!$C$4</f>
        <v>7603.6433715000003</v>
      </c>
      <c r="M15" s="300"/>
      <c r="N15" s="268">
        <f>LOOKUP(C15,'TABLA ANTIG.'!$A$4:$A$39,'TABLA ANTIG.'!$B$4:$B$39)*(L15+M15)</f>
        <v>0</v>
      </c>
      <c r="O15" s="268">
        <f>(L15+M15)*0.1</f>
        <v>760.3643371500001</v>
      </c>
      <c r="P15" s="675"/>
      <c r="Q15" s="268"/>
      <c r="R15" s="268"/>
      <c r="S15" s="301"/>
      <c r="T15" s="268">
        <f>L15+M15+N15+O15+P15+Q15+R15</f>
        <v>8364.0077086500005</v>
      </c>
      <c r="U15" s="301">
        <f t="shared" si="2"/>
        <v>920.04084795150004</v>
      </c>
      <c r="V15" s="268">
        <f t="shared" si="3"/>
        <v>250.92023125950001</v>
      </c>
      <c r="W15" s="301">
        <f t="shared" si="3"/>
        <v>250.92023125950001</v>
      </c>
      <c r="X15" s="268">
        <f>$T15*2%</f>
        <v>167.280154173</v>
      </c>
      <c r="Y15" s="268">
        <f t="shared" si="5"/>
        <v>376.38034688925001</v>
      </c>
      <c r="Z15" s="268">
        <f t="shared" si="6"/>
        <v>1965.54181153275</v>
      </c>
      <c r="AA15" s="302">
        <f t="shared" si="7"/>
        <v>6398.4658971172503</v>
      </c>
      <c r="AB15" s="301"/>
      <c r="AC15" s="268"/>
      <c r="AD15" s="302"/>
      <c r="AE15" s="266">
        <f t="shared" si="8"/>
        <v>6398.4658971172503</v>
      </c>
      <c r="AF15" s="481"/>
      <c r="AG15" s="372"/>
      <c r="AH15" s="266"/>
      <c r="AI15" s="674"/>
      <c r="AJ15" s="268"/>
      <c r="AK15" s="766"/>
      <c r="AL15" s="17"/>
      <c r="AM15" s="17"/>
      <c r="AQ15" s="8"/>
    </row>
    <row r="16" spans="1:43" s="1" customFormat="1" ht="21.75" customHeight="1" x14ac:dyDescent="0.25">
      <c r="A16" s="156">
        <v>1532</v>
      </c>
      <c r="B16" s="157" t="s">
        <v>25</v>
      </c>
      <c r="C16" s="117">
        <v>0</v>
      </c>
      <c r="D16" s="117"/>
      <c r="E16" s="117"/>
      <c r="F16" s="117"/>
      <c r="G16" s="218">
        <v>1924</v>
      </c>
      <c r="H16" s="219">
        <v>2070</v>
      </c>
      <c r="I16" s="537"/>
      <c r="J16" s="219"/>
      <c r="K16" s="103">
        <f>H16*'DATOS REFERENCIALES'!$C$4</f>
        <v>39314.454299999998</v>
      </c>
      <c r="L16" s="193"/>
      <c r="M16" s="193"/>
      <c r="N16" s="660">
        <f>LOOKUP(C16,'TABLA ANTIG.'!$A$4:$A$39,'TABLA ANTIG.'!$B$4:$B$39)*(K16)</f>
        <v>0</v>
      </c>
      <c r="O16" s="142">
        <f t="shared" si="1"/>
        <v>3931.4454299999998</v>
      </c>
      <c r="P16" s="592">
        <f>IF(H16&gt;1134,'DATOS REFERENCIALES'!$C$8,IF(('DATOS REFERENCIALES'!$C$8/1135*H16)&lt;'DATOS REFERENCIALES'!$F$8,'DATOS REFERENCIALES'!$F$8))</f>
        <v>13323</v>
      </c>
      <c r="Q16" s="143">
        <f>LOOKUP(C16,'TABLA ANTIG.'!$A$4:$A$39,'TABLA ANTIG.'!$B$4:$B$39)*(P16)</f>
        <v>0</v>
      </c>
      <c r="R16" s="142">
        <v>0</v>
      </c>
      <c r="S16" s="497">
        <f>IF(C16&gt;11,IF(H16&gt;1134,'DATOS REFERENCIALES'!$C$18,IF(('DATOS REFERENCIALES'!$C$18/1135*H16)&lt;'DATOS REFERENCIALES'!$F$18,'DATOS REFERENCIALES'!$F$18,'DATOS REFERENCIALES'!$C$18/1135*H16)),0)</f>
        <v>0</v>
      </c>
      <c r="T16" s="204">
        <f t="shared" ref="T16:T29" si="9">K16+N16+O16+P16+Q16+R16+S16</f>
        <v>56568.899729999997</v>
      </c>
      <c r="U16" s="111">
        <f t="shared" si="2"/>
        <v>6222.5789703</v>
      </c>
      <c r="V16" s="111">
        <f t="shared" si="3"/>
        <v>1697.0669918999999</v>
      </c>
      <c r="W16" s="111">
        <f t="shared" si="3"/>
        <v>1697.0669918999999</v>
      </c>
      <c r="X16" s="111">
        <f t="shared" si="4"/>
        <v>1131.3779946</v>
      </c>
      <c r="Y16" s="111">
        <f t="shared" si="5"/>
        <v>2545.6004878499998</v>
      </c>
      <c r="Z16" s="111">
        <f t="shared" si="6"/>
        <v>13293.691436549998</v>
      </c>
      <c r="AA16" s="146">
        <f t="shared" si="7"/>
        <v>43275.208293449999</v>
      </c>
      <c r="AB16" s="146">
        <f>'DATOS REFERENCIALES'!$C$10</f>
        <v>0</v>
      </c>
      <c r="AC16" s="77">
        <f>IF(C16&lt;12,IF(H16&gt;1134,'DATOS REFERENCIALES'!$C$17,IF(('DATOS REFERENCIALES'!$C$17/1135*H16)&lt;'DATOS REFERENCIALES'!$F$17,'DATOS REFERENCIALES'!$F$17,('DATOS REFERENCIALES'!$C$17/1135*H16))),0)</f>
        <v>16597</v>
      </c>
      <c r="AD16" s="143">
        <f>IF((IF(H16&gt;1134,('DATOS REFERENCIALES'!$C$9-(T16-U16-V16-W16-X16-Y16+AB16+AC16-L16-L16*0.235)),(('DATOS REFERENCIALES'!$C$9/1135)*H16)-(K16+N16+O16+P16+Q16+S16-U16-V16-W16-X16-Y16+AB16+AC16-(L16-L16*0.235))))&lt;0,0,IF(H16&gt;1134,(('DATOS REFERENCIALES'!$C$9)-(T16-U16-V16-W16-X16-Y16+AB16+AC16-(L16-L16*0.235))),(('DATOS REFERENCIALES'!$C$9/1135)*H16)-(K16+N16+O16+P16+Q16+S16-U16-V16-W16-X16-Y16+AB16+AC16-(L16-L16*0.235))))</f>
        <v>3682.7917065500005</v>
      </c>
      <c r="AE16" s="196">
        <f t="shared" si="8"/>
        <v>63555</v>
      </c>
      <c r="AF16" s="482">
        <f>'DATOS REFERENCIALES'!$C$13</f>
        <v>5141</v>
      </c>
      <c r="AG16" s="664"/>
      <c r="AH16" s="665"/>
      <c r="AI16" s="482">
        <f>'DATOS REFERENCIALES'!$C$16</f>
        <v>2250</v>
      </c>
      <c r="AJ16" s="104">
        <f>'DATOS REFERENCIALES'!$C$12</f>
        <v>6699</v>
      </c>
      <c r="AK16" s="143">
        <f>+AE16+AF16+AI16+AJ16</f>
        <v>77645</v>
      </c>
      <c r="AL16" s="17"/>
      <c r="AM16" s="17"/>
      <c r="AQ16" s="8"/>
    </row>
    <row r="17" spans="1:43" s="1" customFormat="1" ht="21.75" customHeight="1" x14ac:dyDescent="0.25">
      <c r="A17" s="73">
        <v>1534</v>
      </c>
      <c r="B17" s="99" t="s">
        <v>26</v>
      </c>
      <c r="C17" s="117">
        <v>0</v>
      </c>
      <c r="D17" s="34"/>
      <c r="E17" s="34"/>
      <c r="F17" s="34"/>
      <c r="G17" s="61">
        <v>1451</v>
      </c>
      <c r="H17" s="48">
        <f t="shared" si="0"/>
        <v>1451</v>
      </c>
      <c r="I17" s="48"/>
      <c r="J17" s="48"/>
      <c r="K17" s="88">
        <f>H17*'DATOS REFERENCIALES'!$C$4</f>
        <v>27558.102989999999</v>
      </c>
      <c r="L17" s="182"/>
      <c r="M17" s="182"/>
      <c r="N17" s="109">
        <f>LOOKUP(C17,'TABLA ANTIG.'!$A$4:$A$39,'TABLA ANTIG.'!$B$4:$B$39)*(K17)</f>
        <v>0</v>
      </c>
      <c r="O17" s="97">
        <f t="shared" si="1"/>
        <v>2755.8102990000002</v>
      </c>
      <c r="P17" s="562">
        <f>IF(H17&gt;1134,'DATOS REFERENCIALES'!$C$8,IF(('DATOS REFERENCIALES'!$C$8/1135*H17)&lt;'DATOS REFERENCIALES'!$F$8,'DATOS REFERENCIALES'!$F$8))</f>
        <v>13323</v>
      </c>
      <c r="Q17" s="127">
        <f>LOOKUP(C17,'TABLA ANTIG.'!$A$4:$A$39,'TABLA ANTIG.'!$B$4:$B$39)*(P17)</f>
        <v>0</v>
      </c>
      <c r="R17" s="97">
        <v>0</v>
      </c>
      <c r="S17" s="499">
        <f>IF(C17&gt;11,IF(H17&gt;1134,'DATOS REFERENCIALES'!$C$18,IF(('DATOS REFERENCIALES'!$C$18/1135*H17)&lt;'DATOS REFERENCIALES'!$F$18,'DATOS REFERENCIALES'!$F$18,'DATOS REFERENCIALES'!$C$18/1135*H17)),0)</f>
        <v>0</v>
      </c>
      <c r="T17" s="155">
        <f t="shared" si="9"/>
        <v>43636.913289000004</v>
      </c>
      <c r="U17" s="27">
        <f t="shared" si="2"/>
        <v>4800.0604617900008</v>
      </c>
      <c r="V17" s="27">
        <f t="shared" si="3"/>
        <v>1309.1073986700001</v>
      </c>
      <c r="W17" s="27">
        <f t="shared" si="3"/>
        <v>1309.1073986700001</v>
      </c>
      <c r="X17" s="27">
        <f t="shared" si="4"/>
        <v>872.73826578000012</v>
      </c>
      <c r="Y17" s="27">
        <f t="shared" si="5"/>
        <v>1963.661098005</v>
      </c>
      <c r="Z17" s="27">
        <f t="shared" si="6"/>
        <v>10254.674622915001</v>
      </c>
      <c r="AA17" s="144">
        <f t="shared" si="7"/>
        <v>33382.238666085002</v>
      </c>
      <c r="AB17" s="144">
        <f>'DATOS REFERENCIALES'!$C$10</f>
        <v>0</v>
      </c>
      <c r="AC17" s="78">
        <f>IF(C17&lt;12,IF(H17&gt;1134,'DATOS REFERENCIALES'!$C$17,IF(('DATOS REFERENCIALES'!$C$17/1135*H17)&lt;'DATOS REFERENCIALES'!$F$17,'DATOS REFERENCIALES'!$F$17,('DATOS REFERENCIALES'!$C$17/1135*H17))),0)</f>
        <v>16597</v>
      </c>
      <c r="AD17" s="127">
        <f>IF((IF(H17&gt;1134,('DATOS REFERENCIALES'!$C$9-(T17-U17-V17-W17-X17-Y17+AB17+AC17-L17-L17*0.235)),(('DATOS REFERENCIALES'!$C$9/1135)*H17)-(K17+N17+O17+P17+Q17+S17-U17-V17-W17-X17-Y17+AB17+AC17-(L17-L17*0.235))))&lt;0,0,IF(H17&gt;1134,(('DATOS REFERENCIALES'!$C$9)-(T17-U17-V17-W17-X17-Y17+AB17+AC17-(L17-L17*0.235))),(('DATOS REFERENCIALES'!$C$9/1135)*H17)-(K17+N17+O17+P17+Q17+S17-U17-V17-W17-X17-Y17+AB17+AC17-(L17-L17*0.235))))</f>
        <v>13575.761333914998</v>
      </c>
      <c r="AE17" s="148">
        <f t="shared" si="8"/>
        <v>63555</v>
      </c>
      <c r="AF17" s="90">
        <f>'DATOS REFERENCIALES'!$C$13</f>
        <v>5141</v>
      </c>
      <c r="AG17" s="646"/>
      <c r="AH17" s="649"/>
      <c r="AI17" s="90">
        <f>'DATOS REFERENCIALES'!$C$16</f>
        <v>2250</v>
      </c>
      <c r="AJ17" s="78">
        <f>'DATOS REFERENCIALES'!$C$12</f>
        <v>6699</v>
      </c>
      <c r="AK17" s="127">
        <f t="shared" ref="AK17:AK29" si="10">+AE17+AF17+AI17+AJ17</f>
        <v>77645</v>
      </c>
      <c r="AL17" s="17"/>
      <c r="AM17" s="17"/>
      <c r="AQ17" s="8"/>
    </row>
    <row r="18" spans="1:43" s="1" customFormat="1" ht="21.75" customHeight="1" x14ac:dyDescent="0.25">
      <c r="A18" s="73">
        <v>1556</v>
      </c>
      <c r="B18" s="99" t="s">
        <v>27</v>
      </c>
      <c r="C18" s="117">
        <v>0</v>
      </c>
      <c r="D18" s="34"/>
      <c r="E18" s="34"/>
      <c r="F18" s="34"/>
      <c r="G18" s="61">
        <v>1120</v>
      </c>
      <c r="H18" s="511">
        <v>1135</v>
      </c>
      <c r="I18" s="48"/>
      <c r="J18" s="48"/>
      <c r="K18" s="88">
        <f>H18*'DATOS REFERENCIALES'!$C$4</f>
        <v>21556.476149999999</v>
      </c>
      <c r="L18" s="182"/>
      <c r="M18" s="182"/>
      <c r="N18" s="109">
        <f>LOOKUP(C18,'TABLA ANTIG.'!$A$4:$A$39,'TABLA ANTIG.'!$B$4:$B$39)*(K18)</f>
        <v>0</v>
      </c>
      <c r="O18" s="97">
        <f t="shared" si="1"/>
        <v>2155.6476149999999</v>
      </c>
      <c r="P18" s="562">
        <f>IF(H18&gt;1134,'DATOS REFERENCIALES'!$C$8,IF(('DATOS REFERENCIALES'!$C$8/1135*H18)&lt;'DATOS REFERENCIALES'!$F$8,'DATOS REFERENCIALES'!$F$8))</f>
        <v>13323</v>
      </c>
      <c r="Q18" s="127">
        <f>LOOKUP(C18,'TABLA ANTIG.'!$A$4:$A$39,'TABLA ANTIG.'!$B$4:$B$39)*(P18)</f>
        <v>0</v>
      </c>
      <c r="R18" s="97">
        <v>0</v>
      </c>
      <c r="S18" s="499">
        <f>IF(C18&gt;11,IF(H18&gt;1134,'DATOS REFERENCIALES'!$C$18,IF(('DATOS REFERENCIALES'!$C$18/1135*H18)&lt;'DATOS REFERENCIALES'!$F$18,'DATOS REFERENCIALES'!$F$18,'DATOS REFERENCIALES'!$C$18/1135*H18)),0)</f>
        <v>0</v>
      </c>
      <c r="T18" s="155">
        <f t="shared" si="9"/>
        <v>37035.123764999997</v>
      </c>
      <c r="U18" s="27">
        <f t="shared" si="2"/>
        <v>4073.8636141499996</v>
      </c>
      <c r="V18" s="27">
        <f t="shared" si="3"/>
        <v>1111.0537129499999</v>
      </c>
      <c r="W18" s="27">
        <f t="shared" si="3"/>
        <v>1111.0537129499999</v>
      </c>
      <c r="X18" s="27">
        <f t="shared" si="4"/>
        <v>740.70247529999995</v>
      </c>
      <c r="Y18" s="27">
        <f t="shared" si="5"/>
        <v>1666.5805694249998</v>
      </c>
      <c r="Z18" s="27">
        <f t="shared" si="6"/>
        <v>8703.2540847749988</v>
      </c>
      <c r="AA18" s="144">
        <f t="shared" si="7"/>
        <v>28331.869680224998</v>
      </c>
      <c r="AB18" s="144">
        <f>'DATOS REFERENCIALES'!$C$10</f>
        <v>0</v>
      </c>
      <c r="AC18" s="78">
        <f>IF(C18&lt;12,IF(H18&gt;1134,'DATOS REFERENCIALES'!$C$17,IF(('DATOS REFERENCIALES'!$C$17/1135*H18)&lt;'DATOS REFERENCIALES'!$F$17,'DATOS REFERENCIALES'!$F$17,('DATOS REFERENCIALES'!$C$17/1135*H18))),0)</f>
        <v>16597</v>
      </c>
      <c r="AD18" s="127">
        <f>IF((IF(H18&gt;1134,('DATOS REFERENCIALES'!$C$9-(T18-U18-V18-W18-X18-Y18+AB18+AC18-L18-L18*0.235)),(('DATOS REFERENCIALES'!$C$9/1135)*H18)-(K18+N18+O18+P18+Q18+S18-U18-V18-W18-X18-Y18+AB18+AC18-(L18-L18*0.235))))&lt;0,0,IF(H18&gt;1134,(('DATOS REFERENCIALES'!$C$9)-(T18-U18-V18-W18-X18-Y18+AB18+AC18-(L18-L18*0.235))),(('DATOS REFERENCIALES'!$C$9/1135)*H18)-(K18+N18+O18+P18+Q18+S18-U18-V18-W18-X18-Y18+AB18+AC18-(L18-L18*0.235))))</f>
        <v>18626.130319775009</v>
      </c>
      <c r="AE18" s="148">
        <f t="shared" si="8"/>
        <v>63555.000000000007</v>
      </c>
      <c r="AF18" s="90">
        <f>'DATOS REFERENCIALES'!$C$13</f>
        <v>5141</v>
      </c>
      <c r="AG18" s="646"/>
      <c r="AH18" s="649"/>
      <c r="AI18" s="90">
        <f>'DATOS REFERENCIALES'!$C$16</f>
        <v>2250</v>
      </c>
      <c r="AJ18" s="78">
        <f>'DATOS REFERENCIALES'!$C$12</f>
        <v>6699</v>
      </c>
      <c r="AK18" s="127">
        <f t="shared" si="10"/>
        <v>77645</v>
      </c>
      <c r="AL18" s="17"/>
      <c r="AM18" s="17"/>
      <c r="AQ18" s="8"/>
    </row>
    <row r="19" spans="1:43" s="1" customFormat="1" ht="21.75" customHeight="1" x14ac:dyDescent="0.25">
      <c r="A19" s="73">
        <v>1557</v>
      </c>
      <c r="B19" s="107" t="s">
        <v>75</v>
      </c>
      <c r="C19" s="117">
        <v>0</v>
      </c>
      <c r="D19" s="34"/>
      <c r="E19" s="34"/>
      <c r="F19" s="34"/>
      <c r="G19" s="61">
        <v>823</v>
      </c>
      <c r="H19" s="48">
        <f t="shared" si="0"/>
        <v>823</v>
      </c>
      <c r="I19" s="48"/>
      <c r="J19" s="48"/>
      <c r="K19" s="88">
        <f>H19*'DATOS REFERENCIALES'!$C$4</f>
        <v>15630.81927</v>
      </c>
      <c r="L19" s="182"/>
      <c r="M19" s="182"/>
      <c r="N19" s="109">
        <f>LOOKUP(C19,'TABLA ANTIG.'!$A$4:$A$39,'TABLA ANTIG.'!$B$4:$B$39)*(K19)</f>
        <v>0</v>
      </c>
      <c r="O19" s="97">
        <f t="shared" si="1"/>
        <v>1563.0819270000002</v>
      </c>
      <c r="P19" s="562">
        <f>IF(H19&gt;1134,'DATOS REFERENCIALES'!$C$8,IF(('DATOS REFERENCIALES'!$C$8/1135*H19)&lt;'DATOS REFERENCIALES'!$F$8,'DATOS REFERENCIALES'!$F$8))</f>
        <v>12239</v>
      </c>
      <c r="Q19" s="127">
        <f>LOOKUP(C19,'TABLA ANTIG.'!$A$4:$A$39,'TABLA ANTIG.'!$B$4:$B$39)*(P19)</f>
        <v>0</v>
      </c>
      <c r="R19" s="97">
        <v>0</v>
      </c>
      <c r="S19" s="499">
        <f>IF(C19&gt;11,IF(H19&gt;1134,'DATOS REFERENCIALES'!$C$18,IF(('DATOS REFERENCIALES'!$C$18/1135*H19)&lt;'DATOS REFERENCIALES'!$F$18,'DATOS REFERENCIALES'!$F$18,'DATOS REFERENCIALES'!$C$18/1135*H19)),0)</f>
        <v>0</v>
      </c>
      <c r="T19" s="155">
        <f t="shared" si="9"/>
        <v>29432.901196999999</v>
      </c>
      <c r="U19" s="27">
        <f t="shared" si="2"/>
        <v>3237.6191316700001</v>
      </c>
      <c r="V19" s="27">
        <f t="shared" si="3"/>
        <v>882.98703590999992</v>
      </c>
      <c r="W19" s="27">
        <f t="shared" si="3"/>
        <v>882.98703590999992</v>
      </c>
      <c r="X19" s="27">
        <f t="shared" si="4"/>
        <v>588.65802394000002</v>
      </c>
      <c r="Y19" s="27">
        <f t="shared" si="5"/>
        <v>1324.4805538649998</v>
      </c>
      <c r="Z19" s="27">
        <f t="shared" si="6"/>
        <v>6916.7317812949996</v>
      </c>
      <c r="AA19" s="144">
        <f t="shared" si="7"/>
        <v>22516.169415705001</v>
      </c>
      <c r="AB19" s="144">
        <f>'DATOS REFERENCIALES'!$C$10</f>
        <v>0</v>
      </c>
      <c r="AC19" s="78">
        <f>IF(C19&lt;12,IF(H19&gt;1134,'DATOS REFERENCIALES'!$C$17,IF(('DATOS REFERENCIALES'!$C$17/1135*H19)&lt;'DATOS REFERENCIALES'!$F$17,'DATOS REFERENCIALES'!$F$17,('DATOS REFERENCIALES'!$C$17/1135*H19))),0)</f>
        <v>15925</v>
      </c>
      <c r="AD19" s="127">
        <f>IF((IF(H19&gt;1134,('DATOS REFERENCIALES'!$C$9-(T19-U19-V19-W19-X19-Y19+AB19+AC19-L19-L19*0.235)),(('DATOS REFERENCIALES'!$C$9/1135)*H19)-(K19+N19+O19+P19+Q19+S19-U19-V19-W19-X19-Y19+AB19+AC19-(L19-L19*0.235))))&lt;0,0,IF(H19&gt;1134,(('DATOS REFERENCIALES'!$C$9)-(T19-U19-V19-W19-X19-Y19+AB19+AC19-(L19-L19*0.235))),(('DATOS REFERENCIALES'!$C$9/1135)*H19)-(K19+N19+O19+P19+Q19+S19-U19-V19-W19-X19-Y19+AB19+AC19-(L19-L19*0.235))))</f>
        <v>7643.2050336341999</v>
      </c>
      <c r="AE19" s="148">
        <f t="shared" si="8"/>
        <v>46084.374449339201</v>
      </c>
      <c r="AF19" s="90">
        <f>'DATOS REFERENCIALES'!$C$13</f>
        <v>5141</v>
      </c>
      <c r="AG19" s="646"/>
      <c r="AH19" s="649"/>
      <c r="AI19" s="90">
        <f>'DATOS REFERENCIALES'!$C$16</f>
        <v>2250</v>
      </c>
      <c r="AJ19" s="78">
        <f>'DATOS REFERENCIALES'!$C$12</f>
        <v>6699</v>
      </c>
      <c r="AK19" s="127">
        <f t="shared" si="10"/>
        <v>60174.374449339201</v>
      </c>
      <c r="AL19" s="17"/>
      <c r="AM19" s="17"/>
      <c r="AQ19" s="8"/>
    </row>
    <row r="20" spans="1:43" s="1" customFormat="1" ht="21.75" customHeight="1" x14ac:dyDescent="0.25">
      <c r="A20" s="73">
        <v>1559</v>
      </c>
      <c r="B20" s="99" t="s">
        <v>28</v>
      </c>
      <c r="C20" s="117">
        <v>0</v>
      </c>
      <c r="D20" s="34"/>
      <c r="E20" s="34"/>
      <c r="F20" s="34"/>
      <c r="G20" s="61">
        <v>1120</v>
      </c>
      <c r="H20" s="511">
        <v>1135</v>
      </c>
      <c r="I20" s="48"/>
      <c r="J20" s="48"/>
      <c r="K20" s="88">
        <f>H20*'DATOS REFERENCIALES'!$C$4</f>
        <v>21556.476149999999</v>
      </c>
      <c r="L20" s="182"/>
      <c r="M20" s="182"/>
      <c r="N20" s="109">
        <f>LOOKUP(C20,'TABLA ANTIG.'!$A$4:$A$39,'TABLA ANTIG.'!$B$4:$B$39)*(K20)</f>
        <v>0</v>
      </c>
      <c r="O20" s="97">
        <f t="shared" si="1"/>
        <v>2155.6476149999999</v>
      </c>
      <c r="P20" s="562">
        <f>IF(H20&gt;1134,'DATOS REFERENCIALES'!$C$8,IF(('DATOS REFERENCIALES'!$C$8/1135*H20)&lt;'DATOS REFERENCIALES'!$F$8,'DATOS REFERENCIALES'!$F$8))</f>
        <v>13323</v>
      </c>
      <c r="Q20" s="127">
        <f>LOOKUP(C20,'TABLA ANTIG.'!$A$4:$A$39,'TABLA ANTIG.'!$B$4:$B$39)*(P20)</f>
        <v>0</v>
      </c>
      <c r="R20" s="97">
        <v>0</v>
      </c>
      <c r="S20" s="499">
        <f>IF(C20&gt;11,IF(H20&gt;1134,'DATOS REFERENCIALES'!$C$18,IF(('DATOS REFERENCIALES'!$C$18/1135*H20)&lt;'DATOS REFERENCIALES'!$F$18,'DATOS REFERENCIALES'!$F$18,'DATOS REFERENCIALES'!$C$18/1135*H20)),0)</f>
        <v>0</v>
      </c>
      <c r="T20" s="155">
        <f t="shared" si="9"/>
        <v>37035.123764999997</v>
      </c>
      <c r="U20" s="27">
        <f t="shared" si="2"/>
        <v>4073.8636141499996</v>
      </c>
      <c r="V20" s="27">
        <f t="shared" si="3"/>
        <v>1111.0537129499999</v>
      </c>
      <c r="W20" s="27">
        <f t="shared" si="3"/>
        <v>1111.0537129499999</v>
      </c>
      <c r="X20" s="27">
        <f t="shared" si="4"/>
        <v>740.70247529999995</v>
      </c>
      <c r="Y20" s="27">
        <f t="shared" si="5"/>
        <v>1666.5805694249998</v>
      </c>
      <c r="Z20" s="27">
        <f t="shared" si="6"/>
        <v>8703.2540847749988</v>
      </c>
      <c r="AA20" s="144">
        <f t="shared" si="7"/>
        <v>28331.869680224998</v>
      </c>
      <c r="AB20" s="144">
        <f>'DATOS REFERENCIALES'!$C$10</f>
        <v>0</v>
      </c>
      <c r="AC20" s="78">
        <f>IF(C20&lt;12,IF(H20&gt;1134,'DATOS REFERENCIALES'!$C$17,IF(('DATOS REFERENCIALES'!$C$17/1135*H20)&lt;'DATOS REFERENCIALES'!$F$17,'DATOS REFERENCIALES'!$F$17,('DATOS REFERENCIALES'!$C$17/1135*H20))),0)</f>
        <v>16597</v>
      </c>
      <c r="AD20" s="127">
        <f>IF((IF(H20&gt;1134,('DATOS REFERENCIALES'!$C$9-(T20-U20-V20-W20-X20-Y20+AB20+AC20-L20-L20*0.235)),(('DATOS REFERENCIALES'!$C$9/1135)*H20)-(K20+N20+O20+P20+Q20+S20-U20-V20-W20-X20-Y20+AB20+AC20-(L20-L20*0.235))))&lt;0,0,IF(H20&gt;1134,(('DATOS REFERENCIALES'!$C$9)-(T20-U20-V20-W20-X20-Y20+AB20+AC20-(L20-L20*0.235))),(('DATOS REFERENCIALES'!$C$9/1135)*H20)-(K20+N20+O20+P20+Q20+S20-U20-V20-W20-X20-Y20+AB20+AC20-(L20-L20*0.235))))</f>
        <v>18626.130319775009</v>
      </c>
      <c r="AE20" s="148">
        <f t="shared" si="8"/>
        <v>63555.000000000007</v>
      </c>
      <c r="AF20" s="90">
        <f>'DATOS REFERENCIALES'!$C$13</f>
        <v>5141</v>
      </c>
      <c r="AG20" s="646"/>
      <c r="AH20" s="649"/>
      <c r="AI20" s="90">
        <f>'DATOS REFERENCIALES'!$C$16</f>
        <v>2250</v>
      </c>
      <c r="AJ20" s="78">
        <f>'DATOS REFERENCIALES'!$C$12</f>
        <v>6699</v>
      </c>
      <c r="AK20" s="127">
        <f t="shared" si="10"/>
        <v>77645</v>
      </c>
      <c r="AL20" s="17"/>
      <c r="AM20" s="17"/>
      <c r="AQ20" s="8"/>
    </row>
    <row r="21" spans="1:43" s="1" customFormat="1" ht="21.75" customHeight="1" x14ac:dyDescent="0.25">
      <c r="A21" s="73">
        <v>1566</v>
      </c>
      <c r="B21" s="99" t="s">
        <v>29</v>
      </c>
      <c r="C21" s="117">
        <v>0</v>
      </c>
      <c r="D21" s="34"/>
      <c r="E21" s="34"/>
      <c r="F21" s="34"/>
      <c r="G21" s="61">
        <v>1008</v>
      </c>
      <c r="H21" s="48">
        <f t="shared" si="0"/>
        <v>1008</v>
      </c>
      <c r="I21" s="48"/>
      <c r="J21" s="48"/>
      <c r="K21" s="88">
        <f>H21*'DATOS REFERENCIALES'!$C$4</f>
        <v>19144.429919999999</v>
      </c>
      <c r="L21" s="182"/>
      <c r="M21" s="182"/>
      <c r="N21" s="109">
        <f>LOOKUP(C21,'TABLA ANTIG.'!$A$4:$A$39,'TABLA ANTIG.'!$B$4:$B$39)*(K21)</f>
        <v>0</v>
      </c>
      <c r="O21" s="97">
        <f t="shared" si="1"/>
        <v>1914.442992</v>
      </c>
      <c r="P21" s="562">
        <f>IF(H21&gt;1134,'DATOS REFERENCIALES'!$C$8,IF(('DATOS REFERENCIALES'!$C$8/1135*H21)&lt;'DATOS REFERENCIALES'!$F$8,'DATOS REFERENCIALES'!$F$8))</f>
        <v>12239</v>
      </c>
      <c r="Q21" s="127">
        <f>LOOKUP(C21,'TABLA ANTIG.'!$A$4:$A$39,'TABLA ANTIG.'!$B$4:$B$39)*(P21)</f>
        <v>0</v>
      </c>
      <c r="R21" s="97">
        <v>0</v>
      </c>
      <c r="S21" s="499">
        <f>IF(C21&gt;11,IF(H21&gt;1134,'DATOS REFERENCIALES'!$C$18,IF(('DATOS REFERENCIALES'!$C$18/1135*H21)&lt;'DATOS REFERENCIALES'!$F$18,'DATOS REFERENCIALES'!$F$18,'DATOS REFERENCIALES'!$C$18/1135*H21)),0)</f>
        <v>0</v>
      </c>
      <c r="T21" s="155">
        <f t="shared" si="9"/>
        <v>33297.872911999999</v>
      </c>
      <c r="U21" s="27">
        <f t="shared" si="2"/>
        <v>3662.7660203199998</v>
      </c>
      <c r="V21" s="27">
        <f t="shared" si="3"/>
        <v>998.93618735999996</v>
      </c>
      <c r="W21" s="27">
        <f t="shared" si="3"/>
        <v>998.93618735999996</v>
      </c>
      <c r="X21" s="27">
        <f t="shared" si="4"/>
        <v>665.95745823999994</v>
      </c>
      <c r="Y21" s="27">
        <f t="shared" si="5"/>
        <v>1498.4042810399999</v>
      </c>
      <c r="Z21" s="27">
        <f t="shared" si="6"/>
        <v>7825.0001343199992</v>
      </c>
      <c r="AA21" s="144">
        <f t="shared" si="7"/>
        <v>25472.872777680001</v>
      </c>
      <c r="AB21" s="144">
        <f>'DATOS REFERENCIALES'!$C$10</f>
        <v>0</v>
      </c>
      <c r="AC21" s="78">
        <f>IF(C21&lt;12,IF(H21&gt;1134,'DATOS REFERENCIALES'!$C$17,IF(('DATOS REFERENCIALES'!$C$17/1135*H21)&lt;'DATOS REFERENCIALES'!$F$17,'DATOS REFERENCIALES'!$F$17,('DATOS REFERENCIALES'!$C$17/1135*H21))),0)</f>
        <v>15925</v>
      </c>
      <c r="AD21" s="127">
        <f>IF((IF(H21&gt;1134,('DATOS REFERENCIALES'!$C$9-(T21-U21-V21-W21-X21-Y21+AB21+AC21-L21-L21*0.235)),(('DATOS REFERENCIALES'!$C$9/1135)*H21)-(K21+N21+O21+P21+Q21+S21-U21-V21-W21-X21-Y21+AB21+AC21-(L21-L21*0.235))))&lt;0,0,IF(H21&gt;1134,(('DATOS REFERENCIALES'!$C$9)-(T21-U21-V21-W21-X21-Y21+AB21+AC21-(L21-L21*0.235))),(('DATOS REFERENCIALES'!$C$9/1135)*H21)-(K21+N21+O21+P21+Q21+S21-U21-V21-W21-X21-Y21+AB21+AC21-(L21-L21*0.235))))</f>
        <v>15045.686693685631</v>
      </c>
      <c r="AE21" s="148">
        <f t="shared" si="8"/>
        <v>56443.559471365632</v>
      </c>
      <c r="AF21" s="90">
        <f>'DATOS REFERENCIALES'!$C$13</f>
        <v>5141</v>
      </c>
      <c r="AG21" s="646"/>
      <c r="AH21" s="649"/>
      <c r="AI21" s="90">
        <f>'DATOS REFERENCIALES'!$C$16</f>
        <v>2250</v>
      </c>
      <c r="AJ21" s="78">
        <f>'DATOS REFERENCIALES'!$C$12</f>
        <v>6699</v>
      </c>
      <c r="AK21" s="127">
        <f t="shared" si="10"/>
        <v>70533.559471365632</v>
      </c>
      <c r="AL21" s="17"/>
      <c r="AM21" s="17"/>
      <c r="AQ21" s="8"/>
    </row>
    <row r="22" spans="1:43" s="1" customFormat="1" ht="21.75" customHeight="1" x14ac:dyDescent="0.25">
      <c r="A22" s="73">
        <v>1567</v>
      </c>
      <c r="B22" s="99" t="s">
        <v>30</v>
      </c>
      <c r="C22" s="117">
        <v>0</v>
      </c>
      <c r="D22" s="34"/>
      <c r="E22" s="34"/>
      <c r="F22" s="34"/>
      <c r="G22" s="61">
        <v>825</v>
      </c>
      <c r="H22" s="48">
        <f t="shared" si="0"/>
        <v>825</v>
      </c>
      <c r="I22" s="48"/>
      <c r="J22" s="48"/>
      <c r="K22" s="88">
        <f>H22*'DATOS REFERENCIALES'!$C$4</f>
        <v>15668.804249999999</v>
      </c>
      <c r="L22" s="182"/>
      <c r="M22" s="182"/>
      <c r="N22" s="109">
        <f>LOOKUP(C22,'TABLA ANTIG.'!$A$4:$A$39,'TABLA ANTIG.'!$B$4:$B$39)*(K22)</f>
        <v>0</v>
      </c>
      <c r="O22" s="97">
        <f t="shared" si="1"/>
        <v>1566.8804250000001</v>
      </c>
      <c r="P22" s="562">
        <f>IF(H22&gt;1134,'DATOS REFERENCIALES'!$C$8,IF(('DATOS REFERENCIALES'!$C$8/1135*H22)&lt;'DATOS REFERENCIALES'!$F$8,'DATOS REFERENCIALES'!$F$8))</f>
        <v>12239</v>
      </c>
      <c r="Q22" s="127">
        <f>LOOKUP(C22,'TABLA ANTIG.'!$A$4:$A$39,'TABLA ANTIG.'!$B$4:$B$39)*(P22)</f>
        <v>0</v>
      </c>
      <c r="R22" s="144">
        <v>0</v>
      </c>
      <c r="S22" s="499">
        <f>IF(C22&gt;11,IF(H22&gt;1134,'DATOS REFERENCIALES'!$C$18,IF(('DATOS REFERENCIALES'!$C$18/1135*H22)&lt;'DATOS REFERENCIALES'!$F$18,'DATOS REFERENCIALES'!$F$18,'DATOS REFERENCIALES'!$C$18/1135*H22)),0)</f>
        <v>0</v>
      </c>
      <c r="T22" s="155">
        <f t="shared" si="9"/>
        <v>29474.684675</v>
      </c>
      <c r="U22" s="78">
        <f t="shared" si="2"/>
        <v>3242.2153142500001</v>
      </c>
      <c r="V22" s="78">
        <f t="shared" si="3"/>
        <v>884.24054024999998</v>
      </c>
      <c r="W22" s="78">
        <f t="shared" si="3"/>
        <v>884.24054024999998</v>
      </c>
      <c r="X22" s="78">
        <f t="shared" si="4"/>
        <v>589.49369350000006</v>
      </c>
      <c r="Y22" s="78">
        <f t="shared" si="5"/>
        <v>1326.360810375</v>
      </c>
      <c r="Z22" s="27">
        <f t="shared" si="6"/>
        <v>6926.5508986249997</v>
      </c>
      <c r="AA22" s="144">
        <f t="shared" si="7"/>
        <v>22548.133776375002</v>
      </c>
      <c r="AB22" s="144">
        <f>'DATOS REFERENCIALES'!$C$10</f>
        <v>0</v>
      </c>
      <c r="AC22" s="78">
        <f>IF(C22&lt;12,IF(H22&gt;1134,'DATOS REFERENCIALES'!$C$17,IF(('DATOS REFERENCIALES'!$C$17/1135*H22)&lt;'DATOS REFERENCIALES'!$F$17,'DATOS REFERENCIALES'!$F$17,('DATOS REFERENCIALES'!$C$17/1135*H22))),0)</f>
        <v>15925</v>
      </c>
      <c r="AD22" s="127">
        <f>IF((IF(H22&gt;1134,('DATOS REFERENCIALES'!$C$9-(T22-U22-V22-W22-X22-Y22+AB22+AC22-L22-L22*0.235)),(('DATOS REFERENCIALES'!$C$9/1135)*H22)-(K22+N22+O22+P22+Q22+S22-U22-V22-W22-X22-Y22+AB22+AC22-(L22-L22*0.235))))&lt;0,0,IF(H22&gt;1134,(('DATOS REFERENCIALES'!$C$9)-(T22-U22-V22-W22-X22-Y22+AB22+AC22-(L22-L22*0.235))),(('DATOS REFERENCIALES'!$C$9/1135)*H22)-(K22+N22+O22+P22+Q22+S22-U22-V22-W22-X22-Y22+AB22+AC22-(L22-L22*0.235))))</f>
        <v>7723.2318623915198</v>
      </c>
      <c r="AE22" s="148">
        <f t="shared" si="8"/>
        <v>46196.365638766525</v>
      </c>
      <c r="AF22" s="90">
        <f>'DATOS REFERENCIALES'!$C$13</f>
        <v>5141</v>
      </c>
      <c r="AG22" s="646"/>
      <c r="AH22" s="649"/>
      <c r="AI22" s="90">
        <f>'DATOS REFERENCIALES'!$C$16</f>
        <v>2250</v>
      </c>
      <c r="AJ22" s="78">
        <f>'DATOS REFERENCIALES'!$C$12</f>
        <v>6699</v>
      </c>
      <c r="AK22" s="127">
        <f t="shared" si="10"/>
        <v>60286.365638766525</v>
      </c>
      <c r="AL22" s="17"/>
      <c r="AM22" s="17"/>
      <c r="AQ22" s="8"/>
    </row>
    <row r="23" spans="1:43" s="1" customFormat="1" ht="21.75" customHeight="1" x14ac:dyDescent="0.25">
      <c r="A23" s="73">
        <v>1568</v>
      </c>
      <c r="B23" s="107" t="s">
        <v>76</v>
      </c>
      <c r="C23" s="117">
        <v>0</v>
      </c>
      <c r="D23" s="34"/>
      <c r="E23" s="34"/>
      <c r="F23" s="34"/>
      <c r="G23" s="61">
        <v>1008</v>
      </c>
      <c r="H23" s="48">
        <f t="shared" si="0"/>
        <v>1008</v>
      </c>
      <c r="I23" s="48"/>
      <c r="J23" s="48"/>
      <c r="K23" s="88">
        <f>H23*'DATOS REFERENCIALES'!$C$4</f>
        <v>19144.429919999999</v>
      </c>
      <c r="L23" s="182"/>
      <c r="M23" s="182"/>
      <c r="N23" s="109">
        <f>LOOKUP(C23,'TABLA ANTIG.'!$A$4:$A$39,'TABLA ANTIG.'!$B$4:$B$39)*(K23)</f>
        <v>0</v>
      </c>
      <c r="O23" s="97">
        <f t="shared" si="1"/>
        <v>1914.442992</v>
      </c>
      <c r="P23" s="562">
        <f>IF(H23&gt;1134,'DATOS REFERENCIALES'!$C$8,IF(('DATOS REFERENCIALES'!$C$8/1135*H23)&lt;'DATOS REFERENCIALES'!$F$8,'DATOS REFERENCIALES'!$F$8))</f>
        <v>12239</v>
      </c>
      <c r="Q23" s="127">
        <f>LOOKUP(C23,'TABLA ANTIG.'!$A$4:$A$39,'TABLA ANTIG.'!$B$4:$B$39)*(P23)</f>
        <v>0</v>
      </c>
      <c r="R23" s="144">
        <v>0</v>
      </c>
      <c r="S23" s="499">
        <f>IF(C23&gt;11,IF(H23&gt;1134,'DATOS REFERENCIALES'!$C$18,IF(('DATOS REFERENCIALES'!$C$18/1135*H23)&lt;'DATOS REFERENCIALES'!$F$18,'DATOS REFERENCIALES'!$F$18,'DATOS REFERENCIALES'!$C$18/1135*H23)),0)</f>
        <v>0</v>
      </c>
      <c r="T23" s="155">
        <f t="shared" si="9"/>
        <v>33297.872911999999</v>
      </c>
      <c r="U23" s="78">
        <f t="shared" si="2"/>
        <v>3662.7660203199998</v>
      </c>
      <c r="V23" s="78">
        <f t="shared" si="3"/>
        <v>998.93618735999996</v>
      </c>
      <c r="W23" s="78">
        <f t="shared" si="3"/>
        <v>998.93618735999996</v>
      </c>
      <c r="X23" s="78">
        <f t="shared" si="4"/>
        <v>665.95745823999994</v>
      </c>
      <c r="Y23" s="78">
        <f t="shared" si="5"/>
        <v>1498.4042810399999</v>
      </c>
      <c r="Z23" s="27">
        <f t="shared" si="6"/>
        <v>7825.0001343199992</v>
      </c>
      <c r="AA23" s="144">
        <f t="shared" si="7"/>
        <v>25472.872777680001</v>
      </c>
      <c r="AB23" s="144">
        <f>'DATOS REFERENCIALES'!$C$10</f>
        <v>0</v>
      </c>
      <c r="AC23" s="78">
        <f>IF(C23&lt;12,IF(H23&gt;1134,'DATOS REFERENCIALES'!$C$17,IF(('DATOS REFERENCIALES'!$C$17/1135*H23)&lt;'DATOS REFERENCIALES'!$F$17,'DATOS REFERENCIALES'!$F$17,('DATOS REFERENCIALES'!$C$17/1135*H23))),0)</f>
        <v>15925</v>
      </c>
      <c r="AD23" s="127">
        <f>IF((IF(H23&gt;1134,('DATOS REFERENCIALES'!$C$9-(T23-U23-V23-W23-X23-Y23+AB23+AC23-L23-L23*0.235)),(('DATOS REFERENCIALES'!$C$9/1135)*H23)-(K23+N23+O23+P23+Q23+S23-U23-V23-W23-X23-Y23+AB23+AC23-(L23-L23*0.235))))&lt;0,0,IF(H23&gt;1134,(('DATOS REFERENCIALES'!$C$9)-(T23-U23-V23-W23-X23-Y23+AB23+AC23-(L23-L23*0.235))),(('DATOS REFERENCIALES'!$C$9/1135)*H23)-(K23+N23+O23+P23+Q23+S23-U23-V23-W23-X23-Y23+AB23+AC23-(L23-L23*0.235))))</f>
        <v>15045.686693685631</v>
      </c>
      <c r="AE23" s="148">
        <f t="shared" si="8"/>
        <v>56443.559471365632</v>
      </c>
      <c r="AF23" s="90">
        <f>'DATOS REFERENCIALES'!$C$13</f>
        <v>5141</v>
      </c>
      <c r="AG23" s="646"/>
      <c r="AH23" s="649"/>
      <c r="AI23" s="90">
        <f>'DATOS REFERENCIALES'!$C$16</f>
        <v>2250</v>
      </c>
      <c r="AJ23" s="78">
        <f>'DATOS REFERENCIALES'!$C$12</f>
        <v>6699</v>
      </c>
      <c r="AK23" s="127">
        <f t="shared" si="10"/>
        <v>70533.559471365632</v>
      </c>
      <c r="AL23" s="17"/>
      <c r="AM23" s="17"/>
      <c r="AQ23" s="8"/>
    </row>
    <row r="24" spans="1:43" s="1" customFormat="1" ht="21.75" customHeight="1" x14ac:dyDescent="0.25">
      <c r="A24" s="73">
        <v>1582</v>
      </c>
      <c r="B24" s="99" t="s">
        <v>15</v>
      </c>
      <c r="C24" s="117">
        <v>0</v>
      </c>
      <c r="D24" s="34"/>
      <c r="E24" s="34"/>
      <c r="F24" s="34"/>
      <c r="G24" s="61">
        <v>952</v>
      </c>
      <c r="H24" s="48">
        <f t="shared" si="0"/>
        <v>952</v>
      </c>
      <c r="I24" s="48"/>
      <c r="J24" s="48"/>
      <c r="K24" s="88">
        <f>H24*'DATOS REFERENCIALES'!$C$4</f>
        <v>18080.850480000001</v>
      </c>
      <c r="L24" s="182"/>
      <c r="M24" s="182"/>
      <c r="N24" s="109">
        <f>LOOKUP(C24,'TABLA ANTIG.'!$A$4:$A$39,'TABLA ANTIG.'!$B$4:$B$39)*(K24)</f>
        <v>0</v>
      </c>
      <c r="O24" s="97">
        <f t="shared" si="1"/>
        <v>1808.0850480000001</v>
      </c>
      <c r="P24" s="562">
        <f>IF(H24&gt;1134,'DATOS REFERENCIALES'!$C$8,IF(('DATOS REFERENCIALES'!$C$8/1135*H24)&lt;'DATOS REFERENCIALES'!$F$8,'DATOS REFERENCIALES'!$F$8))</f>
        <v>12239</v>
      </c>
      <c r="Q24" s="127">
        <f>LOOKUP(C24,'TABLA ANTIG.'!$A$4:$A$39,'TABLA ANTIG.'!$B$4:$B$39)*(P24)</f>
        <v>0</v>
      </c>
      <c r="R24" s="144">
        <v>0</v>
      </c>
      <c r="S24" s="499">
        <f>IF(C24&gt;11,IF(H24&gt;1134,'DATOS REFERENCIALES'!$C$18,IF(('DATOS REFERENCIALES'!$C$18/1135*H24)&lt;'DATOS REFERENCIALES'!$F$18,'DATOS REFERENCIALES'!$F$18,'DATOS REFERENCIALES'!$C$18/1135*H24)),0)</f>
        <v>0</v>
      </c>
      <c r="T24" s="155">
        <f t="shared" si="9"/>
        <v>32127.935528000002</v>
      </c>
      <c r="U24" s="78">
        <f t="shared" si="2"/>
        <v>3534.0729080800002</v>
      </c>
      <c r="V24" s="78">
        <f t="shared" si="3"/>
        <v>963.83806584000001</v>
      </c>
      <c r="W24" s="78">
        <f t="shared" si="3"/>
        <v>963.83806584000001</v>
      </c>
      <c r="X24" s="78">
        <f t="shared" si="4"/>
        <v>642.55871056000001</v>
      </c>
      <c r="Y24" s="78">
        <f t="shared" si="5"/>
        <v>1445.75709876</v>
      </c>
      <c r="Z24" s="27">
        <f t="shared" si="6"/>
        <v>7550.0648490800004</v>
      </c>
      <c r="AA24" s="144">
        <f t="shared" si="7"/>
        <v>24577.870678920001</v>
      </c>
      <c r="AB24" s="144">
        <f>'DATOS REFERENCIALES'!$C$10</f>
        <v>0</v>
      </c>
      <c r="AC24" s="78">
        <f>IF(C24&lt;12,IF(H24&gt;1134,'DATOS REFERENCIALES'!$C$17,IF(('DATOS REFERENCIALES'!$C$17/1135*H24)&lt;'DATOS REFERENCIALES'!$F$17,'DATOS REFERENCIALES'!$F$17,('DATOS REFERENCIALES'!$C$17/1135*H24))),0)</f>
        <v>15925</v>
      </c>
      <c r="AD24" s="127">
        <f>IF((IF(H24&gt;1134,('DATOS REFERENCIALES'!$C$9-(T24-U24-V24-W24-X24-Y24+AB24+AC24-L24-L24*0.235)),(('DATOS REFERENCIALES'!$C$9/1135)*H24)-(K24+N24+O24+P24+Q24+S24-U24-V24-W24-X24-Y24+AB24+AC24-(L24-L24*0.235))))&lt;0,0,IF(H24&gt;1134,(('DATOS REFERENCIALES'!$C$9)-(T24-U24-V24-W24-X24-Y24+AB24+AC24-(L24-L24*0.235))),(('DATOS REFERENCIALES'!$C$9/1135)*H24)-(K24+N24+O24+P24+Q24+S24-U24-V24-W24-X24-Y24+AB24+AC24-(L24-L24*0.235))))</f>
        <v>12804.935488480871</v>
      </c>
      <c r="AE24" s="148">
        <f t="shared" si="8"/>
        <v>53307.806167400871</v>
      </c>
      <c r="AF24" s="90">
        <f>'DATOS REFERENCIALES'!$C$13</f>
        <v>5141</v>
      </c>
      <c r="AG24" s="646"/>
      <c r="AH24" s="649"/>
      <c r="AI24" s="90">
        <f>'DATOS REFERENCIALES'!$C$16</f>
        <v>2250</v>
      </c>
      <c r="AJ24" s="78">
        <f>'DATOS REFERENCIALES'!$C$12</f>
        <v>6699</v>
      </c>
      <c r="AK24" s="127">
        <f t="shared" si="10"/>
        <v>67397.806167400879</v>
      </c>
      <c r="AL24" s="17"/>
      <c r="AM24" s="17"/>
      <c r="AQ24" s="8"/>
    </row>
    <row r="25" spans="1:43" s="1" customFormat="1" ht="21.75" customHeight="1" x14ac:dyDescent="0.25">
      <c r="A25" s="73">
        <v>1599</v>
      </c>
      <c r="B25" s="99" t="s">
        <v>31</v>
      </c>
      <c r="C25" s="34">
        <v>0</v>
      </c>
      <c r="D25" s="34">
        <v>1</v>
      </c>
      <c r="E25" s="34"/>
      <c r="F25" s="34"/>
      <c r="G25" s="61">
        <v>56</v>
      </c>
      <c r="H25" s="48">
        <f t="shared" si="0"/>
        <v>56</v>
      </c>
      <c r="I25" s="48"/>
      <c r="J25" s="48"/>
      <c r="K25" s="88">
        <f>(H25*'DATOS REFERENCIALES'!$C$4)*D25</f>
        <v>1063.57944</v>
      </c>
      <c r="L25" s="182"/>
      <c r="M25" s="182"/>
      <c r="N25" s="109">
        <f>LOOKUP(C25,'TABLA ANTIG.'!$A$4:$A$39,'TABLA ANTIG.'!$B$4:$B$39)*(K25)</f>
        <v>0</v>
      </c>
      <c r="O25" s="175">
        <f t="shared" si="1"/>
        <v>106.357944</v>
      </c>
      <c r="P25" s="652">
        <f>IF(D25&gt;38,'DATOS REFERENCIALES'!$D$8,'DATOS REFERENCIALES'!$E$8*D25)</f>
        <v>701.21052631578948</v>
      </c>
      <c r="Q25" s="150">
        <f>LOOKUP(C25,'TABLA ANTIG.'!$A$4:$A$39,'TABLA ANTIG.'!$B$4:$B$39)*(P25)</f>
        <v>0</v>
      </c>
      <c r="R25" s="144">
        <v>0</v>
      </c>
      <c r="S25" s="499">
        <f>IF(C25&gt;11,IF(D25&gt;'DATOS REFERENCIALES'!$J$18,'DATOS REFERENCIALES'!$D$18,'DATOS REFERENCIALES'!$D$18/'DATOS REFERENCIALES'!$J$18*D25),0)</f>
        <v>0</v>
      </c>
      <c r="T25" s="155">
        <f t="shared" si="9"/>
        <v>1871.1479103157894</v>
      </c>
      <c r="U25" s="78">
        <f t="shared" si="2"/>
        <v>205.82627013473683</v>
      </c>
      <c r="V25" s="78">
        <f t="shared" si="3"/>
        <v>56.134437309473682</v>
      </c>
      <c r="W25" s="78">
        <f t="shared" si="3"/>
        <v>56.134437309473682</v>
      </c>
      <c r="X25" s="78">
        <f t="shared" si="4"/>
        <v>37.422958206315791</v>
      </c>
      <c r="Y25" s="78">
        <f t="shared" si="5"/>
        <v>84.201655964210516</v>
      </c>
      <c r="Z25" s="27">
        <f t="shared" si="6"/>
        <v>439.71975892421051</v>
      </c>
      <c r="AA25" s="144">
        <f t="shared" si="7"/>
        <v>1431.4281513915789</v>
      </c>
      <c r="AB25" s="144">
        <f>IF(D25&gt;38,'DATOS REFERENCIALES'!$D$10,'DATOS REFERENCIALES'!$E$10*D25)</f>
        <v>0</v>
      </c>
      <c r="AC25" s="673">
        <f>IF(C25&lt;12,IF(D25&gt;'DATOS REFERENCIALES'!$J$17,'DATOS REFERENCIALES'!$D$17,('DATOS REFERENCIALES'!$E$17*D25)),0)</f>
        <v>873.52631578947364</v>
      </c>
      <c r="AD25" s="127">
        <f>IF(D25&gt;41,IF((('DATOS REFERENCIALES'!$D$9)-((T25)-Z25+(AB25)+(AC25)))&lt;0,0,((('DATOS REFERENCIALES'!$D$9)-((T25)-(Z25)+(AB25)+(AC25))))),IF((('DATOS REFERENCIALES'!$E$9*D25)-(((T25)-Z25+(AB25)+(AC25))))&lt;0,0,('DATOS REFERENCIALES'!$E$9*D25)-((T25)-(Z25)+(AB25)+(AC25))))</f>
        <v>872.79553281894732</v>
      </c>
      <c r="AE25" s="148">
        <f t="shared" si="8"/>
        <v>3177.75</v>
      </c>
      <c r="AF25" s="90">
        <f>IF(D25&gt;30,'DATOS REFERENCIALES'!$D$13,('DATOS REFERENCIALES'!$E$13*D25))</f>
        <v>342.73333333333335</v>
      </c>
      <c r="AG25" s="646"/>
      <c r="AH25" s="649"/>
      <c r="AI25" s="651">
        <f>IF(D25&gt;'DATOS REFERENCIALES'!$J$16,'DATOS REFERENCIALES'!$D$16,'DATOS REFERENCIALES'!$E$16*D25)</f>
        <v>150</v>
      </c>
      <c r="AJ25" s="78">
        <f>IF(D25&gt;'DATOS REFERENCIALES'!$J$12,'DATOS REFERENCIALES'!$D$12,'DATOS REFERENCIALES'!$E$12*D25)</f>
        <v>446.6</v>
      </c>
      <c r="AK25" s="127">
        <f t="shared" si="10"/>
        <v>4117.0833333333339</v>
      </c>
      <c r="AL25" s="17"/>
      <c r="AM25" s="17"/>
      <c r="AQ25" s="8"/>
    </row>
    <row r="26" spans="1:43" s="1" customFormat="1" ht="21.75" customHeight="1" x14ac:dyDescent="0.25">
      <c r="A26" s="73">
        <v>1599</v>
      </c>
      <c r="B26" s="99" t="s">
        <v>96</v>
      </c>
      <c r="C26" s="34">
        <v>0</v>
      </c>
      <c r="D26" s="34">
        <v>1</v>
      </c>
      <c r="E26" s="34"/>
      <c r="F26" s="34"/>
      <c r="G26" s="61">
        <v>56</v>
      </c>
      <c r="H26" s="48">
        <f t="shared" si="0"/>
        <v>56</v>
      </c>
      <c r="I26" s="48"/>
      <c r="J26" s="48"/>
      <c r="K26" s="88">
        <f>(H26*'DATOS REFERENCIALES'!$C$4)*D26</f>
        <v>1063.57944</v>
      </c>
      <c r="L26" s="182"/>
      <c r="M26" s="182"/>
      <c r="N26" s="109">
        <f>LOOKUP(C26,'TABLA ANTIG.'!$A$4:$A$39,'TABLA ANTIG.'!$B$4:$B$39)*(K26)</f>
        <v>0</v>
      </c>
      <c r="O26" s="97">
        <f t="shared" si="1"/>
        <v>106.357944</v>
      </c>
      <c r="P26" s="652">
        <f>IF(D26&gt;38,'DATOS REFERENCIALES'!$D$8,'DATOS REFERENCIALES'!$E$8*D26)</f>
        <v>701.21052631578948</v>
      </c>
      <c r="Q26" s="127">
        <f>LOOKUP(C26,'TABLA ANTIG.'!$A$4:$A$39,'TABLA ANTIG.'!$B$4:$B$39)*(P26)</f>
        <v>0</v>
      </c>
      <c r="R26" s="144">
        <v>0</v>
      </c>
      <c r="S26" s="499">
        <f>IF(C26&gt;11,IF(D26&gt;'DATOS REFERENCIALES'!$J$18,'DATOS REFERENCIALES'!$D$18,'DATOS REFERENCIALES'!$D$18/'DATOS REFERENCIALES'!$J$18*D26),0)</f>
        <v>0</v>
      </c>
      <c r="T26" s="155">
        <f t="shared" si="9"/>
        <v>1871.1479103157894</v>
      </c>
      <c r="U26" s="78">
        <f t="shared" si="2"/>
        <v>205.82627013473683</v>
      </c>
      <c r="V26" s="78">
        <f t="shared" si="3"/>
        <v>56.134437309473682</v>
      </c>
      <c r="W26" s="78">
        <f t="shared" si="3"/>
        <v>56.134437309473682</v>
      </c>
      <c r="X26" s="78">
        <f t="shared" si="4"/>
        <v>37.422958206315791</v>
      </c>
      <c r="Y26" s="78">
        <f t="shared" si="5"/>
        <v>84.201655964210516</v>
      </c>
      <c r="Z26" s="27">
        <f t="shared" si="6"/>
        <v>439.71975892421051</v>
      </c>
      <c r="AA26" s="144">
        <f t="shared" si="7"/>
        <v>1431.4281513915789</v>
      </c>
      <c r="AB26" s="144">
        <f>IF(D26&gt;38,'DATOS REFERENCIALES'!$D$10,'DATOS REFERENCIALES'!$E$10*D26)</f>
        <v>0</v>
      </c>
      <c r="AC26" s="673">
        <f>IF(C26&lt;12,IF(D26&gt;'DATOS REFERENCIALES'!$J$17,'DATOS REFERENCIALES'!$D$17,('DATOS REFERENCIALES'!$E$17*D26)),0)</f>
        <v>873.52631578947364</v>
      </c>
      <c r="AD26" s="127">
        <f>IF(D26&gt;41,IF((('DATOS REFERENCIALES'!$D$9)-((T26)-Z26+(AB26)+(AC26)))&lt;0,0,((('DATOS REFERENCIALES'!$D$9)-((T26)-(Z26)+(AB26)+(AC26))))),IF((('DATOS REFERENCIALES'!$E$9*D26)-(((T26)-Z26+(AB26)+(AC26))))&lt;0,0,('DATOS REFERENCIALES'!$E$9*D26)-((T26)-(Z26)+(AB26)+(AC26))))</f>
        <v>872.79553281894732</v>
      </c>
      <c r="AE26" s="148">
        <f t="shared" si="8"/>
        <v>3177.75</v>
      </c>
      <c r="AF26" s="90">
        <f>IF(D26&gt;30,'DATOS REFERENCIALES'!$D$13,('DATOS REFERENCIALES'!$E$13*D26))</f>
        <v>342.73333333333335</v>
      </c>
      <c r="AG26" s="646"/>
      <c r="AH26" s="649"/>
      <c r="AI26" s="651">
        <f>IF(D26&gt;'DATOS REFERENCIALES'!$J$16,'DATOS REFERENCIALES'!$D$16,'DATOS REFERENCIALES'!$E$16*D26)</f>
        <v>150</v>
      </c>
      <c r="AJ26" s="78">
        <f>IF(D26&gt;'DATOS REFERENCIALES'!$J$12,'DATOS REFERENCIALES'!$D$12,'DATOS REFERENCIALES'!$E$12*D26)</f>
        <v>446.6</v>
      </c>
      <c r="AK26" s="127">
        <f t="shared" si="10"/>
        <v>4117.0833333333339</v>
      </c>
      <c r="AL26" s="17"/>
      <c r="AM26" s="17"/>
      <c r="AQ26" s="8"/>
    </row>
    <row r="27" spans="1:43" s="1" customFormat="1" ht="21.75" customHeight="1" x14ac:dyDescent="0.25">
      <c r="A27" s="73">
        <v>1599</v>
      </c>
      <c r="B27" s="99" t="s">
        <v>97</v>
      </c>
      <c r="C27" s="34">
        <v>0</v>
      </c>
      <c r="D27" s="34">
        <v>1</v>
      </c>
      <c r="E27" s="34"/>
      <c r="F27" s="34"/>
      <c r="G27" s="61">
        <v>56</v>
      </c>
      <c r="H27" s="48">
        <f t="shared" si="0"/>
        <v>56</v>
      </c>
      <c r="I27" s="48"/>
      <c r="J27" s="48"/>
      <c r="K27" s="88">
        <f>(H27*'DATOS REFERENCIALES'!$C$4)*D27</f>
        <v>1063.57944</v>
      </c>
      <c r="L27" s="182"/>
      <c r="M27" s="182"/>
      <c r="N27" s="109">
        <f>LOOKUP(C27,'TABLA ANTIG.'!$A$4:$A$39,'TABLA ANTIG.'!$B$4:$B$39)*(K27)</f>
        <v>0</v>
      </c>
      <c r="O27" s="97">
        <f t="shared" si="1"/>
        <v>106.357944</v>
      </c>
      <c r="P27" s="652">
        <f>IF(D27&gt;38,'DATOS REFERENCIALES'!$D$8,'DATOS REFERENCIALES'!$E$8*D27)</f>
        <v>701.21052631578948</v>
      </c>
      <c r="Q27" s="127">
        <f>LOOKUP(C27,'TABLA ANTIG.'!$A$4:$A$39,'TABLA ANTIG.'!$B$4:$B$39)*(P27)</f>
        <v>0</v>
      </c>
      <c r="R27" s="144">
        <v>0</v>
      </c>
      <c r="S27" s="499">
        <f>IF(C27&gt;11,IF(D27&gt;'DATOS REFERENCIALES'!$J$18,'DATOS REFERENCIALES'!$D$18,'DATOS REFERENCIALES'!$D$18/'DATOS REFERENCIALES'!$J$18*D27),0)</f>
        <v>0</v>
      </c>
      <c r="T27" s="155">
        <f t="shared" si="9"/>
        <v>1871.1479103157894</v>
      </c>
      <c r="U27" s="78">
        <f t="shared" si="2"/>
        <v>205.82627013473683</v>
      </c>
      <c r="V27" s="78">
        <f t="shared" si="3"/>
        <v>56.134437309473682</v>
      </c>
      <c r="W27" s="78">
        <f t="shared" si="3"/>
        <v>56.134437309473682</v>
      </c>
      <c r="X27" s="78">
        <f t="shared" si="4"/>
        <v>37.422958206315791</v>
      </c>
      <c r="Y27" s="78">
        <f t="shared" si="5"/>
        <v>84.201655964210516</v>
      </c>
      <c r="Z27" s="27">
        <f t="shared" si="6"/>
        <v>439.71975892421051</v>
      </c>
      <c r="AA27" s="144">
        <f t="shared" si="7"/>
        <v>1431.4281513915789</v>
      </c>
      <c r="AB27" s="144">
        <f>IF(D27&gt;38,'DATOS REFERENCIALES'!$D$10,'DATOS REFERENCIALES'!$E$10*D27)</f>
        <v>0</v>
      </c>
      <c r="AC27" s="673">
        <f>IF(C27&lt;12,IF(D27&gt;'DATOS REFERENCIALES'!$J$17,'DATOS REFERENCIALES'!$D$17,('DATOS REFERENCIALES'!$E$17*D27)),0)</f>
        <v>873.52631578947364</v>
      </c>
      <c r="AD27" s="127">
        <f>IF(D27&gt;41,IF((('DATOS REFERENCIALES'!$D$9)-((T27)-Z27+(AB27)+(AC27)))&lt;0,0,((('DATOS REFERENCIALES'!$D$9)-((T27)-(Z27)+(AB27)+(AC27))))),IF((('DATOS REFERENCIALES'!$E$9*D27)-(((T27)-Z27+(AB27)+(AC27))))&lt;0,0,('DATOS REFERENCIALES'!$E$9*D27)-((T27)-(Z27)+(AB27)+(AC27))))</f>
        <v>872.79553281894732</v>
      </c>
      <c r="AE27" s="148">
        <f t="shared" si="8"/>
        <v>3177.75</v>
      </c>
      <c r="AF27" s="90">
        <f>IF(D27&gt;30,'DATOS REFERENCIALES'!$D$13,('DATOS REFERENCIALES'!$E$13*D27))</f>
        <v>342.73333333333335</v>
      </c>
      <c r="AG27" s="646"/>
      <c r="AH27" s="649"/>
      <c r="AI27" s="651">
        <f>IF(D27&gt;'DATOS REFERENCIALES'!$J$16,'DATOS REFERENCIALES'!$D$16,'DATOS REFERENCIALES'!$E$16*D27)</f>
        <v>150</v>
      </c>
      <c r="AJ27" s="78">
        <f>IF(D27&gt;'DATOS REFERENCIALES'!$J$12,'DATOS REFERENCIALES'!$D$12,'DATOS REFERENCIALES'!$E$12*D27)</f>
        <v>446.6</v>
      </c>
      <c r="AK27" s="127">
        <f t="shared" si="10"/>
        <v>4117.0833333333339</v>
      </c>
      <c r="AL27" s="17"/>
      <c r="AM27" s="17"/>
      <c r="AQ27" s="8"/>
    </row>
    <row r="28" spans="1:43" s="1" customFormat="1" ht="21.75" customHeight="1" x14ac:dyDescent="0.25">
      <c r="A28" s="73">
        <v>1599</v>
      </c>
      <c r="B28" s="99" t="s">
        <v>98</v>
      </c>
      <c r="C28" s="34">
        <v>0</v>
      </c>
      <c r="D28" s="34">
        <v>1</v>
      </c>
      <c r="E28" s="34"/>
      <c r="F28" s="34"/>
      <c r="G28" s="61">
        <v>56</v>
      </c>
      <c r="H28" s="48">
        <f t="shared" si="0"/>
        <v>56</v>
      </c>
      <c r="I28" s="48"/>
      <c r="J28" s="48"/>
      <c r="K28" s="88">
        <f>(H28*'DATOS REFERENCIALES'!$C$4)*D28</f>
        <v>1063.57944</v>
      </c>
      <c r="L28" s="182"/>
      <c r="M28" s="182"/>
      <c r="N28" s="109">
        <f>LOOKUP(C28,'TABLA ANTIG.'!$A$4:$A$39,'TABLA ANTIG.'!$B$4:$B$39)*(K28)</f>
        <v>0</v>
      </c>
      <c r="O28" s="97">
        <f t="shared" si="1"/>
        <v>106.357944</v>
      </c>
      <c r="P28" s="652">
        <f>IF(D28&gt;38,'DATOS REFERENCIALES'!$D$8,'DATOS REFERENCIALES'!$E$8*D28)</f>
        <v>701.21052631578948</v>
      </c>
      <c r="Q28" s="127">
        <f>LOOKUP(C28,'TABLA ANTIG.'!$A$4:$A$39,'TABLA ANTIG.'!$B$4:$B$39)*(P28)</f>
        <v>0</v>
      </c>
      <c r="R28" s="144">
        <v>0</v>
      </c>
      <c r="S28" s="499">
        <f>IF(C28&gt;11,IF(D28&gt;'DATOS REFERENCIALES'!$J$18,'DATOS REFERENCIALES'!$D$18,'DATOS REFERENCIALES'!$D$18/'DATOS REFERENCIALES'!$J$18*D28),0)</f>
        <v>0</v>
      </c>
      <c r="T28" s="155">
        <f t="shared" si="9"/>
        <v>1871.1479103157894</v>
      </c>
      <c r="U28" s="78">
        <f t="shared" si="2"/>
        <v>205.82627013473683</v>
      </c>
      <c r="V28" s="78">
        <f t="shared" si="3"/>
        <v>56.134437309473682</v>
      </c>
      <c r="W28" s="78">
        <f t="shared" si="3"/>
        <v>56.134437309473682</v>
      </c>
      <c r="X28" s="78">
        <f t="shared" si="4"/>
        <v>37.422958206315791</v>
      </c>
      <c r="Y28" s="78">
        <f t="shared" si="5"/>
        <v>84.201655964210516</v>
      </c>
      <c r="Z28" s="27">
        <f t="shared" si="6"/>
        <v>439.71975892421051</v>
      </c>
      <c r="AA28" s="144">
        <f t="shared" si="7"/>
        <v>1431.4281513915789</v>
      </c>
      <c r="AB28" s="144">
        <f>IF(D28&gt;38,'DATOS REFERENCIALES'!$D$10,'DATOS REFERENCIALES'!$E$10*D28)</f>
        <v>0</v>
      </c>
      <c r="AC28" s="673">
        <f>IF(C28&lt;12,IF(D28&gt;'DATOS REFERENCIALES'!$J$17,'DATOS REFERENCIALES'!$D$17,('DATOS REFERENCIALES'!$E$17*D28)),0)</f>
        <v>873.52631578947364</v>
      </c>
      <c r="AD28" s="127">
        <f>IF(D28&gt;41,IF((('DATOS REFERENCIALES'!$D$9)-((T28)-Z28+(AB28)+(AC28)))&lt;0,0,((('DATOS REFERENCIALES'!$D$9)-((T28)-(Z28)+(AB28)+(AC28))))),IF((('DATOS REFERENCIALES'!$E$9*D28)-(((T28)-Z28+(AB28)+(AC28))))&lt;0,0,('DATOS REFERENCIALES'!$E$9*D28)-((T28)-(Z28)+(AB28)+(AC28))))</f>
        <v>872.79553281894732</v>
      </c>
      <c r="AE28" s="148">
        <f t="shared" si="8"/>
        <v>3177.75</v>
      </c>
      <c r="AF28" s="90">
        <f>IF(D28&gt;30,'DATOS REFERENCIALES'!$D$13,('DATOS REFERENCIALES'!$E$13*D28))</f>
        <v>342.73333333333335</v>
      </c>
      <c r="AG28" s="646"/>
      <c r="AH28" s="649"/>
      <c r="AI28" s="651">
        <f>IF(D28&gt;'DATOS REFERENCIALES'!$J$16,'DATOS REFERENCIALES'!$D$16,'DATOS REFERENCIALES'!$E$16*D28)</f>
        <v>150</v>
      </c>
      <c r="AJ28" s="78">
        <f>IF(D28&gt;'DATOS REFERENCIALES'!$J$12,'DATOS REFERENCIALES'!$D$12,'DATOS REFERENCIALES'!$E$12*D28)</f>
        <v>446.6</v>
      </c>
      <c r="AK28" s="127">
        <f t="shared" si="10"/>
        <v>4117.0833333333339</v>
      </c>
      <c r="AL28" s="17"/>
      <c r="AM28" s="17"/>
      <c r="AQ28" s="8"/>
    </row>
    <row r="29" spans="1:43" s="1" customFormat="1" ht="21.75" customHeight="1" thickBot="1" x14ac:dyDescent="0.3">
      <c r="A29" s="74">
        <v>1599</v>
      </c>
      <c r="B29" s="101" t="s">
        <v>99</v>
      </c>
      <c r="C29" s="56">
        <v>0</v>
      </c>
      <c r="D29" s="56">
        <v>1</v>
      </c>
      <c r="E29" s="56"/>
      <c r="F29" s="56"/>
      <c r="G29" s="65">
        <v>56</v>
      </c>
      <c r="H29" s="108">
        <f t="shared" si="0"/>
        <v>56</v>
      </c>
      <c r="I29" s="108"/>
      <c r="J29" s="108"/>
      <c r="K29" s="89">
        <f>(H29*'DATOS REFERENCIALES'!$C$4)*D29</f>
        <v>1063.57944</v>
      </c>
      <c r="L29" s="183"/>
      <c r="M29" s="183"/>
      <c r="N29" s="110">
        <f>LOOKUP(C29,'TABLA ANTIG.'!$A$4:$A$39,'TABLA ANTIG.'!$B$4:$B$39)*(K29)</f>
        <v>0</v>
      </c>
      <c r="O29" s="176">
        <f t="shared" si="1"/>
        <v>106.357944</v>
      </c>
      <c r="P29" s="653">
        <f>IF(D29&gt;38,'DATOS REFERENCIALES'!$D$8,'DATOS REFERENCIALES'!$E$8*D29)</f>
        <v>701.21052631578948</v>
      </c>
      <c r="Q29" s="165">
        <f>LOOKUP(C29,'TABLA ANTIG.'!$A$4:$A$39,'TABLA ANTIG.'!$B$4:$B$39)*(P29)</f>
        <v>0</v>
      </c>
      <c r="R29" s="147">
        <v>0</v>
      </c>
      <c r="S29" s="504">
        <f>IF(C29&gt;11,IF(D29&gt;'DATOS REFERENCIALES'!$J$18,'DATOS REFERENCIALES'!$D$18,'DATOS REFERENCIALES'!$D$18/'DATOS REFERENCIALES'!$J$18*D29),0)</f>
        <v>0</v>
      </c>
      <c r="T29" s="197">
        <f t="shared" si="9"/>
        <v>1871.1479103157894</v>
      </c>
      <c r="U29" s="79">
        <f t="shared" si="2"/>
        <v>205.82627013473683</v>
      </c>
      <c r="V29" s="79">
        <f t="shared" si="3"/>
        <v>56.134437309473682</v>
      </c>
      <c r="W29" s="79">
        <f t="shared" si="3"/>
        <v>56.134437309473682</v>
      </c>
      <c r="X29" s="79">
        <f t="shared" si="4"/>
        <v>37.422958206315791</v>
      </c>
      <c r="Y29" s="79">
        <f t="shared" si="5"/>
        <v>84.201655964210516</v>
      </c>
      <c r="Z29" s="28">
        <f t="shared" si="6"/>
        <v>439.71975892421051</v>
      </c>
      <c r="AA29" s="147">
        <f t="shared" si="7"/>
        <v>1431.4281513915789</v>
      </c>
      <c r="AB29" s="147">
        <f>IF(D29&gt;38,'DATOS REFERENCIALES'!$D$10,'DATOS REFERENCIALES'!$E$10*D29)</f>
        <v>0</v>
      </c>
      <c r="AC29" s="585">
        <f>IF(C29&lt;12,IF(D29&gt;'DATOS REFERENCIALES'!$J$17,'DATOS REFERENCIALES'!$D$17,('DATOS REFERENCIALES'!$E$17*D29)),0)</f>
        <v>873.52631578947364</v>
      </c>
      <c r="AD29" s="128">
        <f>IF(D29&gt;41,IF((('DATOS REFERENCIALES'!$D$9)-((T29)-Z29+(AB29)+(AC29)))&lt;0,0,((('DATOS REFERENCIALES'!$D$9)-((T29)-(Z29)+(AB29)+(AC29))))),IF((('DATOS REFERENCIALES'!$E$9*D29)-(((T29)-Z29+(AB29)+(AC29))))&lt;0,0,('DATOS REFERENCIALES'!$E$9*D29)-((T29)-(Z29)+(AB29)+(AC29))))</f>
        <v>872.79553281894732</v>
      </c>
      <c r="AE29" s="154">
        <f t="shared" si="8"/>
        <v>3177.75</v>
      </c>
      <c r="AF29" s="91">
        <f>IF(D29&gt;30,'DATOS REFERENCIALES'!$D$13,('DATOS REFERENCIALES'!$E$13*D29))</f>
        <v>342.73333333333335</v>
      </c>
      <c r="AG29" s="646"/>
      <c r="AH29" s="649"/>
      <c r="AI29" s="593">
        <f>IF(D29&gt;'DATOS REFERENCIALES'!$J$16,'DATOS REFERENCIALES'!$D$16,'DATOS REFERENCIALES'!$E$16*D29)</f>
        <v>150</v>
      </c>
      <c r="AJ29" s="79">
        <f>IF(D29&gt;'DATOS REFERENCIALES'!$J$12,'DATOS REFERENCIALES'!$D$12,'DATOS REFERENCIALES'!$E$12*D29)</f>
        <v>446.6</v>
      </c>
      <c r="AK29" s="128">
        <f t="shared" si="10"/>
        <v>4117.0833333333339</v>
      </c>
      <c r="AL29" s="17"/>
      <c r="AM29" s="17"/>
      <c r="AQ29" s="8"/>
    </row>
    <row r="30" spans="1:43" s="1" customFormat="1" ht="15.6" thickBot="1" x14ac:dyDescent="0.3">
      <c r="A30" s="42"/>
      <c r="B30" s="37"/>
      <c r="C30" s="38"/>
      <c r="D30" s="38"/>
      <c r="E30" s="38"/>
      <c r="F30" s="38"/>
      <c r="G30" s="38"/>
      <c r="H30" s="43"/>
      <c r="I30" s="43"/>
      <c r="J30" s="43"/>
      <c r="K30" s="39"/>
      <c r="L30" s="39"/>
      <c r="M30" s="39"/>
      <c r="N30" s="41"/>
      <c r="O30" s="41"/>
      <c r="P30" s="40"/>
      <c r="Q30" s="39"/>
      <c r="R30" s="41"/>
      <c r="S30" s="41"/>
      <c r="T30" s="41"/>
      <c r="U30" s="41"/>
      <c r="V30" s="41"/>
      <c r="W30" s="41"/>
      <c r="X30" s="41"/>
      <c r="Y30" s="41"/>
      <c r="Z30" s="41"/>
      <c r="AA30" s="44"/>
      <c r="AB30" s="45"/>
      <c r="AC30" s="45"/>
      <c r="AD30" s="44"/>
      <c r="AE30" s="44"/>
      <c r="AF30" s="46"/>
      <c r="AG30" s="46"/>
      <c r="AH30" s="46"/>
      <c r="AI30" s="46"/>
      <c r="AJ30" s="46"/>
      <c r="AK30" s="44"/>
      <c r="AL30" s="17"/>
      <c r="AM30" s="17"/>
      <c r="AQ30" s="8"/>
    </row>
    <row r="31" spans="1:43" s="1" customFormat="1" ht="21" thickBot="1" x14ac:dyDescent="0.4">
      <c r="A31" s="93" t="s">
        <v>132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798" t="s">
        <v>132</v>
      </c>
      <c r="AF31" s="799"/>
      <c r="AG31" s="799"/>
      <c r="AH31" s="799"/>
      <c r="AI31" s="799"/>
      <c r="AJ31" s="799"/>
      <c r="AK31" s="799"/>
      <c r="AL31" s="17"/>
      <c r="AM31" s="17"/>
    </row>
    <row r="32" spans="1:43" s="2" customFormat="1" ht="12.75" customHeight="1" thickBot="1" x14ac:dyDescent="0.3">
      <c r="A32" s="771" t="s">
        <v>1</v>
      </c>
      <c r="B32" s="771" t="s">
        <v>0</v>
      </c>
      <c r="C32" s="732" t="s">
        <v>77</v>
      </c>
      <c r="D32" s="732" t="s">
        <v>117</v>
      </c>
      <c r="E32" s="732" t="s">
        <v>125</v>
      </c>
      <c r="F32" s="732" t="s">
        <v>111</v>
      </c>
      <c r="G32" s="732" t="s">
        <v>102</v>
      </c>
      <c r="H32" s="732" t="s">
        <v>79</v>
      </c>
      <c r="I32" s="732" t="s">
        <v>143</v>
      </c>
      <c r="J32" s="726" t="s">
        <v>142</v>
      </c>
      <c r="K32" s="726" t="s">
        <v>119</v>
      </c>
      <c r="L32" s="726" t="s">
        <v>141</v>
      </c>
      <c r="M32" s="726" t="s">
        <v>142</v>
      </c>
      <c r="N32" s="796" t="s">
        <v>85</v>
      </c>
      <c r="O32" s="734" t="s">
        <v>118</v>
      </c>
      <c r="P32" s="736" t="s">
        <v>86</v>
      </c>
      <c r="Q32" s="734" t="s">
        <v>101</v>
      </c>
      <c r="R32" s="734" t="s">
        <v>84</v>
      </c>
      <c r="S32" s="736" t="s">
        <v>198</v>
      </c>
      <c r="T32" s="734" t="s">
        <v>69</v>
      </c>
      <c r="U32" s="738" t="s">
        <v>59</v>
      </c>
      <c r="V32" s="738"/>
      <c r="W32" s="738"/>
      <c r="X32" s="738"/>
      <c r="Y32" s="738"/>
      <c r="Z32" s="732" t="s">
        <v>68</v>
      </c>
      <c r="AA32" s="739" t="s">
        <v>89</v>
      </c>
      <c r="AB32" s="732" t="s">
        <v>88</v>
      </c>
      <c r="AC32" s="736" t="s">
        <v>199</v>
      </c>
      <c r="AD32" s="732" t="s">
        <v>87</v>
      </c>
      <c r="AE32" s="732" t="s">
        <v>91</v>
      </c>
      <c r="AF32" s="732" t="s">
        <v>90</v>
      </c>
      <c r="AG32" s="732" t="s">
        <v>169</v>
      </c>
      <c r="AH32" s="732" t="s">
        <v>182</v>
      </c>
      <c r="AI32" s="736" t="s">
        <v>197</v>
      </c>
      <c r="AJ32" s="736" t="s">
        <v>195</v>
      </c>
      <c r="AK32" s="732" t="s">
        <v>92</v>
      </c>
      <c r="AL32" s="17"/>
      <c r="AM32" s="17"/>
    </row>
    <row r="33" spans="1:43" s="2" customFormat="1" ht="89.25" customHeight="1" thickBot="1" x14ac:dyDescent="0.3">
      <c r="A33" s="772"/>
      <c r="B33" s="772"/>
      <c r="C33" s="733"/>
      <c r="D33" s="733"/>
      <c r="E33" s="733"/>
      <c r="F33" s="733"/>
      <c r="G33" s="733"/>
      <c r="H33" s="733"/>
      <c r="I33" s="733"/>
      <c r="J33" s="727"/>
      <c r="K33" s="727"/>
      <c r="L33" s="727"/>
      <c r="M33" s="727"/>
      <c r="N33" s="797"/>
      <c r="O33" s="735"/>
      <c r="P33" s="737"/>
      <c r="Q33" s="735"/>
      <c r="R33" s="774"/>
      <c r="S33" s="737"/>
      <c r="T33" s="803"/>
      <c r="U33" s="96" t="s">
        <v>138</v>
      </c>
      <c r="V33" s="96" t="s">
        <v>61</v>
      </c>
      <c r="W33" s="96" t="s">
        <v>62</v>
      </c>
      <c r="X33" s="96" t="s">
        <v>63</v>
      </c>
      <c r="Y33" s="141" t="s">
        <v>64</v>
      </c>
      <c r="Z33" s="756"/>
      <c r="AA33" s="806"/>
      <c r="AB33" s="756"/>
      <c r="AC33" s="737"/>
      <c r="AD33" s="733"/>
      <c r="AE33" s="733"/>
      <c r="AF33" s="733"/>
      <c r="AG33" s="733"/>
      <c r="AH33" s="733"/>
      <c r="AI33" s="737"/>
      <c r="AJ33" s="737"/>
      <c r="AK33" s="756"/>
      <c r="AL33" s="17"/>
      <c r="AM33" s="17"/>
    </row>
    <row r="34" spans="1:43" s="1" customFormat="1" ht="21.75" customHeight="1" x14ac:dyDescent="0.25">
      <c r="A34" s="305">
        <v>5080</v>
      </c>
      <c r="B34" s="448" t="s">
        <v>23</v>
      </c>
      <c r="C34" s="305">
        <v>0</v>
      </c>
      <c r="D34" s="449"/>
      <c r="E34" s="449"/>
      <c r="F34" s="449"/>
      <c r="G34" s="434">
        <v>3128</v>
      </c>
      <c r="H34" s="404">
        <f t="shared" ref="H34:H50" si="11">SUM(G34:G34)</f>
        <v>3128</v>
      </c>
      <c r="I34" s="404"/>
      <c r="J34" s="404"/>
      <c r="K34" s="310">
        <f>H34*'DATOS REFERENCIALES'!$C$4</f>
        <v>59408.508719999998</v>
      </c>
      <c r="L34" s="310"/>
      <c r="M34" s="310"/>
      <c r="N34" s="312">
        <f>LOOKUP(C34,'TABLA ANTIG.'!$A$4:$A$39,'TABLA ANTIG.'!$B$4:$B$39)*(K34)</f>
        <v>0</v>
      </c>
      <c r="O34" s="312">
        <f t="shared" ref="O34:O50" si="12">K34*0.1</f>
        <v>5940.850872</v>
      </c>
      <c r="P34" s="310">
        <f>IF(H34&gt;2069,'DATOS REFERENCIALES'!$D$8,IF(('DATOS REFERENCIALES'!$D$8/2070*H34)&lt;'DATOS REFERENCIALES'!$G$8,'DATOS REFERENCIALES'!$G$8))</f>
        <v>26646</v>
      </c>
      <c r="Q34" s="312">
        <f>LOOKUP(C34,'TABLA ANTIG.'!$A$4:$A$39,'TABLA ANTIG.'!$B$4:$B$39)*(P34)</f>
        <v>0</v>
      </c>
      <c r="R34" s="450">
        <v>0</v>
      </c>
      <c r="S34" s="312">
        <f>IF(C34&gt;11,IF(H34&gt;1134,'DATOS REFERENCIALES'!$C$18,'DATOS REFERENCIALES'!$C$18/1135*H34),0)</f>
        <v>0</v>
      </c>
      <c r="T34" s="312">
        <f>K34+N34+O34+P34+Q34+R34+S34</f>
        <v>91995.359591999993</v>
      </c>
      <c r="U34" s="312">
        <f t="shared" ref="U34:U50" si="13">$T34*11%</f>
        <v>10119.489555119999</v>
      </c>
      <c r="V34" s="312">
        <f t="shared" ref="V34:W50" si="14">$T34*3%</f>
        <v>2759.8607877599998</v>
      </c>
      <c r="W34" s="312">
        <f t="shared" si="14"/>
        <v>2759.8607877599998</v>
      </c>
      <c r="X34" s="312">
        <f t="shared" ref="X34:X50" si="15">$T34*2%</f>
        <v>1839.90719184</v>
      </c>
      <c r="Y34" s="311">
        <f t="shared" ref="Y34:Y50" si="16">$T34*4.5%</f>
        <v>4139.7911816399992</v>
      </c>
      <c r="Z34" s="312">
        <f t="shared" ref="Z34:Z50" si="17">SUM(U34:Y34)</f>
        <v>21618.909504119998</v>
      </c>
      <c r="AA34" s="316">
        <f t="shared" ref="AA34:AA50" si="18">T34-Z34</f>
        <v>70376.450087879988</v>
      </c>
      <c r="AB34" s="336">
        <f>'DATOS REFERENCIALES'!$D$10</f>
        <v>0</v>
      </c>
      <c r="AC34" s="312">
        <f>IF(C34&lt;12,IF(H34&gt;2069,'DATOS REFERENCIALES'!$D$17,'DATOS REFERENCIALES'!$D$17/2070*H34),0)</f>
        <v>33194</v>
      </c>
      <c r="AD34" s="389">
        <f>IF((IF(H34&gt;2069,('DATOS REFERENCIALES'!$D$9-(T34-U34-V34-W34-X34-Y34+AB34+AC34)),(('DATOS REFERENCIALES'!$D$9/2070)*H34)-(K34+N34+O34+P34+Q34+S34-U34-V34-W34-X34-Y34+AB34+AC34)))&lt;0,0,IF(H34&gt;2069,(('DATOS REFERENCIALES'!$D$9)-(T34-U34-V34-W34-X34-Y34+AB34+AC34)),(('DATOS REFERENCIALES'!$D$9/2070)*H34)-(K34+N34+O34+P34+Q34+S34-U34-V34-W34-X34-Y34+AB34+AC34)))</f>
        <v>23539.549912120012</v>
      </c>
      <c r="AE34" s="312">
        <f t="shared" ref="AE34:AE50" si="19">SUM(AA34:AD34)</f>
        <v>127110</v>
      </c>
      <c r="AF34" s="317">
        <f>'DATOS REFERENCIALES'!$D$13</f>
        <v>10282</v>
      </c>
      <c r="AG34" s="338"/>
      <c r="AH34" s="316"/>
      <c r="AI34" s="317">
        <f>'DATOS REFERENCIALES'!$D$16</f>
        <v>4500</v>
      </c>
      <c r="AJ34" s="315">
        <f>'DATOS REFERENCIALES'!$D$12</f>
        <v>13398</v>
      </c>
      <c r="AK34" s="763">
        <f>+AE34+AE35+AF34+AI34+AJ34</f>
        <v>165788.37461845481</v>
      </c>
      <c r="AL34" s="17"/>
      <c r="AM34" s="17"/>
      <c r="AQ34" s="8"/>
    </row>
    <row r="35" spans="1:43" s="1" customFormat="1" ht="26.25" customHeight="1" thickBot="1" x14ac:dyDescent="0.3">
      <c r="A35" s="320">
        <v>5080</v>
      </c>
      <c r="B35" s="451" t="s">
        <v>23</v>
      </c>
      <c r="C35" s="320">
        <f>IF(C34&gt;0,C34,0)</f>
        <v>0</v>
      </c>
      <c r="D35" s="452"/>
      <c r="E35" s="452"/>
      <c r="F35" s="452"/>
      <c r="G35" s="435"/>
      <c r="H35" s="436"/>
      <c r="I35" s="534">
        <f>H34*'DATOS REFERENCIALES'!$K$4/100</f>
        <v>469.2</v>
      </c>
      <c r="J35" s="324" t="s">
        <v>145</v>
      </c>
      <c r="K35" s="325"/>
      <c r="L35" s="325">
        <f>I35*'DATOS REFERENCIALES'!$C$4</f>
        <v>8911.2763080000004</v>
      </c>
      <c r="M35" s="325">
        <f>IF(J35='DATOS REFERENCIALES'!$C$31,K34*'DATOS REFERENCIALES'!$D$31,IF(J35='DATOS REFERENCIALES'!$C$32,('DATOS REFERENCIALES'!$D$32*K34),IF(J35='DATOS REFERENCIALES'!$C$33,('DATOS REFERENCIALES'!$D$33*K34),IF(J35='DATOS REFERENCIALES'!$C$34,('DATOS REFERENCIALES'!$D$34*K34),IF(J35='DATOS REFERENCIALES'!$C$35,('DATOS REFERENCIALES'!$D$35*K34),IF(J35='DATOS REFERENCIALES'!$C$36,('DATOS REFERENCIALES'!$D$36*K34),IF(J35='DATOS REFERENCIALES'!$C$37,('DATOS REFERENCIALES'!$D$37*K34),IF(J35='DATOS REFERENCIALES'!$C$38,('DATOS REFERENCIALES'!$D$38*K34),0))))))))</f>
        <v>3564.5105231999996</v>
      </c>
      <c r="N35" s="327">
        <f>LOOKUP(C35,'TABLA ANTIG.'!$A$4:$A$39,'TABLA ANTIG.'!$B$4:$B$39)*(L35+M35)</f>
        <v>0</v>
      </c>
      <c r="O35" s="327">
        <f>(L35+M35)*0.1</f>
        <v>1247.5786831200001</v>
      </c>
      <c r="P35" s="325"/>
      <c r="Q35" s="327"/>
      <c r="R35" s="327"/>
      <c r="S35" s="327"/>
      <c r="T35" s="327">
        <f>L35+M35+N35+O35+P35+Q35+R35</f>
        <v>13723.365514319999</v>
      </c>
      <c r="U35" s="330">
        <f t="shared" si="13"/>
        <v>1509.5702065752</v>
      </c>
      <c r="V35" s="327">
        <f t="shared" si="14"/>
        <v>411.70096542959999</v>
      </c>
      <c r="W35" s="330">
        <f t="shared" si="14"/>
        <v>411.70096542959999</v>
      </c>
      <c r="X35" s="327">
        <f>$T35*2%</f>
        <v>274.46731028639999</v>
      </c>
      <c r="Y35" s="327">
        <f t="shared" si="16"/>
        <v>617.55144814439996</v>
      </c>
      <c r="Z35" s="327">
        <f t="shared" si="17"/>
        <v>3224.9908958651995</v>
      </c>
      <c r="AA35" s="331">
        <f t="shared" si="18"/>
        <v>10498.3746184548</v>
      </c>
      <c r="AB35" s="327"/>
      <c r="AC35" s="330"/>
      <c r="AD35" s="327"/>
      <c r="AE35" s="326">
        <f t="shared" si="19"/>
        <v>10498.3746184548</v>
      </c>
      <c r="AF35" s="332"/>
      <c r="AG35" s="344"/>
      <c r="AH35" s="326"/>
      <c r="AI35" s="326"/>
      <c r="AJ35" s="327"/>
      <c r="AK35" s="764"/>
      <c r="AL35" s="17"/>
      <c r="AM35" s="17"/>
      <c r="AQ35" s="8"/>
    </row>
    <row r="36" spans="1:43" s="1" customFormat="1" ht="27.75" customHeight="1" x14ac:dyDescent="0.25">
      <c r="A36" s="245">
        <v>5014</v>
      </c>
      <c r="B36" s="456" t="s">
        <v>32</v>
      </c>
      <c r="C36" s="245">
        <v>0</v>
      </c>
      <c r="D36" s="245"/>
      <c r="E36" s="245"/>
      <c r="F36" s="245"/>
      <c r="G36" s="437">
        <v>2415</v>
      </c>
      <c r="H36" s="423">
        <f t="shared" si="11"/>
        <v>2415</v>
      </c>
      <c r="I36" s="535"/>
      <c r="J36" s="423"/>
      <c r="K36" s="247">
        <f>H36*'DATOS REFERENCIALES'!$C$4</f>
        <v>45866.86335</v>
      </c>
      <c r="L36" s="247"/>
      <c r="M36" s="247"/>
      <c r="N36" s="249">
        <f>LOOKUP(C36,'TABLA ANTIG.'!$A$4:$A$39,'TABLA ANTIG.'!$B$4:$B$39)*(K36)</f>
        <v>0</v>
      </c>
      <c r="O36" s="249">
        <f t="shared" si="12"/>
        <v>4586.6863350000003</v>
      </c>
      <c r="P36" s="250">
        <f>IF(H36&gt;1134,'DATOS REFERENCIALES'!$C$8,IF(('DATOS REFERENCIALES'!$C$8/1135*H36)&lt;'DATOS REFERENCIALES'!$F$8,'DATOS REFERENCIALES'!$F$8))</f>
        <v>13323</v>
      </c>
      <c r="Q36" s="249">
        <f>LOOKUP(C36,'TABLA ANTIG.'!$A$4:$A$39,'TABLA ANTIG.'!$B$4:$B$39)*(P36)</f>
        <v>0</v>
      </c>
      <c r="R36" s="249">
        <v>0</v>
      </c>
      <c r="S36" s="249">
        <f>IF(C36&gt;11,IF(H36&gt;1134,'DATOS REFERENCIALES'!$C$18,'DATOS REFERENCIALES'!$C$18/1135*H36),0)</f>
        <v>0</v>
      </c>
      <c r="T36" s="249">
        <f>K36+N36+O36+P36+Q36+R36+S36</f>
        <v>63776.549684999998</v>
      </c>
      <c r="U36" s="249">
        <f t="shared" si="13"/>
        <v>7015.4204653500001</v>
      </c>
      <c r="V36" s="249">
        <f t="shared" si="14"/>
        <v>1913.2964905499998</v>
      </c>
      <c r="W36" s="249">
        <f t="shared" si="14"/>
        <v>1913.2964905499998</v>
      </c>
      <c r="X36" s="249">
        <f t="shared" si="15"/>
        <v>1275.5309937</v>
      </c>
      <c r="Y36" s="253">
        <f t="shared" si="16"/>
        <v>2869.944735825</v>
      </c>
      <c r="Z36" s="249">
        <f t="shared" si="17"/>
        <v>14987.489175974999</v>
      </c>
      <c r="AA36" s="251">
        <f t="shared" si="18"/>
        <v>48789.060509025003</v>
      </c>
      <c r="AB36" s="249">
        <f>'DATOS REFERENCIALES'!$C$10</f>
        <v>0</v>
      </c>
      <c r="AC36" s="249">
        <f>IF(C36&lt;12,IF(H36&gt;1134,'DATOS REFERENCIALES'!$C$17,IF(('DATOS REFERENCIALES'!$C$17/1135*H36)&lt;'DATOS REFERENCIALES'!$F$17,'DATOS REFERENCIALES'!$F$17,('DATOS REFERENCIALES'!$C$17/1135*H36))),0)</f>
        <v>16597</v>
      </c>
      <c r="AD36" s="249">
        <f>IF((IF(H36&gt;1134,('DATOS REFERENCIALES'!$C$9-(T36-U36-V36-W36-X36-Y36+AB36+AC36-L36-L36*0.235)),(('DATOS REFERENCIALES'!$C$9/1135)*H36)-(K36+N36+O36+P36+Q36+S36-U36-V36-W36-X36-Y36+AB36+AC36-(L36-L36*0.235))))&lt;0,0,IF(H36&gt;1134,(('DATOS REFERENCIALES'!$C$9)-(T36-U36-V36-W36-X36-Y36+AB36+AC36-(L36-L36*0.235))),(('DATOS REFERENCIALES'!$C$9/1135)*H36)-(K36+N36+O36+P36+Q36+S36-U36-V36-W36-X36-Y36+AB36+AC36-(L36-L36*0.235))))</f>
        <v>0</v>
      </c>
      <c r="AE36" s="249">
        <f t="shared" si="19"/>
        <v>65386.060509025003</v>
      </c>
      <c r="AF36" s="254">
        <f>'DATOS REFERENCIALES'!$C$13</f>
        <v>5141</v>
      </c>
      <c r="AG36" s="666"/>
      <c r="AH36" s="667"/>
      <c r="AI36" s="254">
        <f>'DATOS REFERENCIALES'!$C$16</f>
        <v>2250</v>
      </c>
      <c r="AJ36" s="249">
        <f>'DATOS REFERENCIALES'!$C$12</f>
        <v>6699</v>
      </c>
      <c r="AK36" s="765">
        <f>+AE36+AE37+AF36+AI36+AJ36</f>
        <v>85265.605335378757</v>
      </c>
      <c r="AL36" s="17"/>
      <c r="AM36" s="17"/>
      <c r="AQ36" s="8"/>
    </row>
    <row r="37" spans="1:43" s="1" customFormat="1" ht="26.25" customHeight="1" thickBot="1" x14ac:dyDescent="0.3">
      <c r="A37" s="296">
        <v>5014</v>
      </c>
      <c r="B37" s="458" t="s">
        <v>32</v>
      </c>
      <c r="C37" s="575">
        <f>IF(C36&gt;0,C36,0)</f>
        <v>0</v>
      </c>
      <c r="D37" s="296"/>
      <c r="E37" s="296"/>
      <c r="F37" s="296"/>
      <c r="G37" s="442"/>
      <c r="H37" s="443"/>
      <c r="I37" s="529">
        <f>H36*'DATOS REFERENCIALES'!$K$4/100</f>
        <v>362.25</v>
      </c>
      <c r="J37" s="386"/>
      <c r="K37" s="300"/>
      <c r="L37" s="300">
        <f>I37*'DATOS REFERENCIALES'!$C$4</f>
        <v>6880.0295024999996</v>
      </c>
      <c r="M37" s="300">
        <f>IF(J37='DATOS REFERENCIALES'!$C$31,K36*'DATOS REFERENCIALES'!$D$31,IF(J37='DATOS REFERENCIALES'!$C$32,('DATOS REFERENCIALES'!$D$32*K36),IF(J37='DATOS REFERENCIALES'!$C$33,('DATOS REFERENCIALES'!$D$33*K36),IF(J37='DATOS REFERENCIALES'!$C$34,('DATOS REFERENCIALES'!$D$34*K36),IF(J37='DATOS REFERENCIALES'!$C$35,('DATOS REFERENCIALES'!$D$35*K36),IF(J37='DATOS REFERENCIALES'!$C$36,('DATOS REFERENCIALES'!$D$36*K36),IF(J37='DATOS REFERENCIALES'!$C$37,('DATOS REFERENCIALES'!$D$37*K36),IF(J37='DATOS REFERENCIALES'!$C$38,('DATOS REFERENCIALES'!$D$38*K36),0))))))))</f>
        <v>0</v>
      </c>
      <c r="N37" s="268">
        <f>LOOKUP(C37,'TABLA ANTIG.'!$A$4:$A$39,'TABLA ANTIG.'!$B$4:$B$39)*(L37+M37)</f>
        <v>0</v>
      </c>
      <c r="O37" s="268">
        <f>(L37+M37)*0.1</f>
        <v>688.00295025000003</v>
      </c>
      <c r="P37" s="300"/>
      <c r="Q37" s="268"/>
      <c r="R37" s="268"/>
      <c r="S37" s="301"/>
      <c r="T37" s="268">
        <f>L37+M37+N37+O37+P37+Q37+R37</f>
        <v>7568.0324527499997</v>
      </c>
      <c r="U37" s="301">
        <f t="shared" si="13"/>
        <v>832.48356980250003</v>
      </c>
      <c r="V37" s="268">
        <f t="shared" si="14"/>
        <v>227.04097358249999</v>
      </c>
      <c r="W37" s="301">
        <f t="shared" si="14"/>
        <v>227.04097358249999</v>
      </c>
      <c r="X37" s="268">
        <f>$T37*2%</f>
        <v>151.36064905500001</v>
      </c>
      <c r="Y37" s="268">
        <f t="shared" si="16"/>
        <v>340.56146037374998</v>
      </c>
      <c r="Z37" s="268">
        <f t="shared" si="17"/>
        <v>1778.4876263962501</v>
      </c>
      <c r="AA37" s="302">
        <f t="shared" si="18"/>
        <v>5789.5448263537492</v>
      </c>
      <c r="AB37" s="268"/>
      <c r="AC37" s="494"/>
      <c r="AD37" s="268"/>
      <c r="AE37" s="266">
        <f t="shared" si="19"/>
        <v>5789.5448263537492</v>
      </c>
      <c r="AF37" s="481"/>
      <c r="AG37" s="372"/>
      <c r="AH37" s="266"/>
      <c r="AI37" s="266"/>
      <c r="AJ37" s="268"/>
      <c r="AK37" s="766"/>
      <c r="AL37" s="17"/>
      <c r="AM37" s="17"/>
      <c r="AQ37" s="8"/>
    </row>
    <row r="38" spans="1:43" s="1" customFormat="1" ht="25.5" customHeight="1" x14ac:dyDescent="0.25">
      <c r="A38" s="271">
        <v>5013</v>
      </c>
      <c r="B38" s="453" t="s">
        <v>51</v>
      </c>
      <c r="C38" s="271">
        <v>0</v>
      </c>
      <c r="D38" s="271"/>
      <c r="E38" s="271"/>
      <c r="F38" s="271"/>
      <c r="G38" s="445">
        <v>2421</v>
      </c>
      <c r="H38" s="414">
        <f t="shared" si="11"/>
        <v>2421</v>
      </c>
      <c r="I38" s="536"/>
      <c r="J38" s="414"/>
      <c r="K38" s="273">
        <f>H38*'DATOS REFERENCIALES'!$C$4</f>
        <v>45980.818290000003</v>
      </c>
      <c r="L38" s="273"/>
      <c r="M38" s="273"/>
      <c r="N38" s="275">
        <f>LOOKUP(C38,'TABLA ANTIG.'!$A$4:$A$39,'TABLA ANTIG.'!$B$4:$B$39)*(K38)</f>
        <v>0</v>
      </c>
      <c r="O38" s="275">
        <f t="shared" si="12"/>
        <v>4598.0818290000007</v>
      </c>
      <c r="P38" s="723">
        <f>IF(H38&gt;1134,'DATOS REFERENCIALES'!$C$8,IF(('DATOS REFERENCIALES'!$C$8/1135*H38)&lt;'DATOS REFERENCIALES'!$F$8,'DATOS REFERENCIALES'!$F$8))</f>
        <v>13323</v>
      </c>
      <c r="Q38" s="275">
        <f>LOOKUP(C38,'TABLA ANTIG.'!$A$4:$A$39,'TABLA ANTIG.'!$B$4:$B$39)*(P38)</f>
        <v>0</v>
      </c>
      <c r="R38" s="275">
        <v>0</v>
      </c>
      <c r="S38" s="275">
        <f>IF(C38&gt;11,IF(H38&gt;1134,'DATOS REFERENCIALES'!$C$18,'DATOS REFERENCIALES'!$C$18/1135*H38),0)</f>
        <v>0</v>
      </c>
      <c r="T38" s="275">
        <f>K38+N38+O38+P38+Q38+R38+S38</f>
        <v>63901.900119000005</v>
      </c>
      <c r="U38" s="275">
        <f t="shared" si="13"/>
        <v>7029.2090130900006</v>
      </c>
      <c r="V38" s="275">
        <f t="shared" si="14"/>
        <v>1917.05700357</v>
      </c>
      <c r="W38" s="275">
        <f t="shared" si="14"/>
        <v>1917.05700357</v>
      </c>
      <c r="X38" s="275">
        <f t="shared" si="15"/>
        <v>1278.0380023800001</v>
      </c>
      <c r="Y38" s="277">
        <f t="shared" si="16"/>
        <v>2875.5855053550004</v>
      </c>
      <c r="Z38" s="275">
        <f t="shared" si="17"/>
        <v>15016.946527965001</v>
      </c>
      <c r="AA38" s="278">
        <f t="shared" si="18"/>
        <v>48884.953591035002</v>
      </c>
      <c r="AB38" s="275">
        <f>'DATOS REFERENCIALES'!$C$10</f>
        <v>0</v>
      </c>
      <c r="AC38" s="275">
        <f>IF(C38&lt;12,IF(H38&gt;1134,'DATOS REFERENCIALES'!$C$17,IF(('DATOS REFERENCIALES'!$C$17/1135*H38)&lt;'DATOS REFERENCIALES'!$F$17,'DATOS REFERENCIALES'!$F$17,('DATOS REFERENCIALES'!$C$17/1135*H38))),0)</f>
        <v>16597</v>
      </c>
      <c r="AD38" s="275">
        <f>IF((IF(H38&gt;1134,('DATOS REFERENCIALES'!$C$9-(T38-U38-V38-W38-X38-Y38+AB38+AC38-L38-L38*0.235)),(('DATOS REFERENCIALES'!$C$9/1135)*H38)-(K38+N38+O38+P38+Q38+S38-U38-V38-W38-X38-Y38+AB38+AC38-(L38-L38*0.235))))&lt;0,0,IF(H38&gt;1134,(('DATOS REFERENCIALES'!$C$9)-(T38-U38-V38-W38-X38-Y38+AB38+AC38-(L38-L38*0.235))),(('DATOS REFERENCIALES'!$C$9/1135)*H38)-(K38+N38+O38+P38+Q38+S38-U38-V38-W38-X38-Y38+AB38+AC38-(L38-L38*0.235))))</f>
        <v>0</v>
      </c>
      <c r="AE38" s="275">
        <f t="shared" si="19"/>
        <v>65481.953591035002</v>
      </c>
      <c r="AF38" s="279">
        <f>'DATOS REFERENCIALES'!$C$13</f>
        <v>5141</v>
      </c>
      <c r="AG38" s="708"/>
      <c r="AH38" s="709"/>
      <c r="AI38" s="279">
        <f>'DATOS REFERENCIALES'!$C$16</f>
        <v>2250</v>
      </c>
      <c r="AJ38" s="275">
        <f>'DATOS REFERENCIALES'!$C$12</f>
        <v>6699</v>
      </c>
      <c r="AK38" s="761">
        <f>+AE38+AE39+AF38+AI38+AJ38</f>
        <v>85375.882379690243</v>
      </c>
      <c r="AL38" s="17"/>
      <c r="AM38" s="17"/>
      <c r="AQ38" s="8"/>
    </row>
    <row r="39" spans="1:43" s="1" customFormat="1" ht="30.75" customHeight="1" thickBot="1" x14ac:dyDescent="0.3">
      <c r="A39" s="282">
        <v>5013</v>
      </c>
      <c r="B39" s="455" t="s">
        <v>51</v>
      </c>
      <c r="C39" s="282">
        <f>IF(C38&gt;0,C38,0)</f>
        <v>0</v>
      </c>
      <c r="D39" s="282"/>
      <c r="E39" s="282"/>
      <c r="F39" s="282"/>
      <c r="G39" s="446"/>
      <c r="H39" s="447"/>
      <c r="I39" s="525">
        <f>H38*'DATOS REFERENCIALES'!$K$4/100</f>
        <v>363.15</v>
      </c>
      <c r="J39" s="380"/>
      <c r="K39" s="284"/>
      <c r="L39" s="284">
        <f>I39*'DATOS REFERENCIALES'!$C$4</f>
        <v>6897.1227434999992</v>
      </c>
      <c r="M39" s="284">
        <f>IF(J39='DATOS REFERENCIALES'!$C$31,K38*'DATOS REFERENCIALES'!$D$31,IF(J39='DATOS REFERENCIALES'!$C$32,('DATOS REFERENCIALES'!$D$32*K38),IF(J39='DATOS REFERENCIALES'!$C$33,('DATOS REFERENCIALES'!$D$33*K38),IF(J39='DATOS REFERENCIALES'!$C$34,('DATOS REFERENCIALES'!$D$34*K38),IF(J39='DATOS REFERENCIALES'!$C$35,('DATOS REFERENCIALES'!$D$35*K38),IF(J39='DATOS REFERENCIALES'!$C$36,('DATOS REFERENCIALES'!$D$36*K38),IF(J39='DATOS REFERENCIALES'!$C$37,('DATOS REFERENCIALES'!$D$37*K38),IF(J39='DATOS REFERENCIALES'!$C$38,('DATOS REFERENCIALES'!$D$38*K38),0))))))))</f>
        <v>0</v>
      </c>
      <c r="N39" s="288">
        <f>LOOKUP(C39,'TABLA ANTIG.'!$A$4:$A$39,'TABLA ANTIG.'!$B$4:$B$39)*(L39+M39)</f>
        <v>0</v>
      </c>
      <c r="O39" s="288">
        <f>(L39+M39)*0.1</f>
        <v>689.71227434999992</v>
      </c>
      <c r="P39" s="284"/>
      <c r="Q39" s="288"/>
      <c r="R39" s="288"/>
      <c r="S39" s="288"/>
      <c r="T39" s="288">
        <f>L39+M39+N39+O39+P39+Q39+R39</f>
        <v>7586.8350178499986</v>
      </c>
      <c r="U39" s="289">
        <f t="shared" si="13"/>
        <v>834.55185196349987</v>
      </c>
      <c r="V39" s="288">
        <f t="shared" si="14"/>
        <v>227.60505053549994</v>
      </c>
      <c r="W39" s="289">
        <f t="shared" si="14"/>
        <v>227.60505053549994</v>
      </c>
      <c r="X39" s="288">
        <f>$T39*2%</f>
        <v>151.73670035699999</v>
      </c>
      <c r="Y39" s="288">
        <f t="shared" si="16"/>
        <v>341.40757580324993</v>
      </c>
      <c r="Z39" s="288">
        <f t="shared" si="17"/>
        <v>1782.9062291947498</v>
      </c>
      <c r="AA39" s="291">
        <f t="shared" si="18"/>
        <v>5803.9287886552484</v>
      </c>
      <c r="AB39" s="288"/>
      <c r="AC39" s="288"/>
      <c r="AD39" s="288"/>
      <c r="AE39" s="290">
        <f t="shared" si="19"/>
        <v>5803.9287886552484</v>
      </c>
      <c r="AF39" s="292"/>
      <c r="AG39" s="358"/>
      <c r="AH39" s="290"/>
      <c r="AI39" s="290"/>
      <c r="AJ39" s="288"/>
      <c r="AK39" s="762"/>
      <c r="AL39" s="17"/>
      <c r="AM39" s="17"/>
      <c r="AQ39" s="8"/>
    </row>
    <row r="40" spans="1:43" s="1" customFormat="1" ht="27.75" customHeight="1" x14ac:dyDescent="0.25">
      <c r="A40" s="554">
        <v>5033</v>
      </c>
      <c r="B40" s="718" t="s">
        <v>33</v>
      </c>
      <c r="C40" s="554">
        <v>0</v>
      </c>
      <c r="D40" s="554"/>
      <c r="E40" s="554"/>
      <c r="F40" s="554"/>
      <c r="G40" s="719">
        <v>1222</v>
      </c>
      <c r="H40" s="720">
        <f t="shared" si="11"/>
        <v>1222</v>
      </c>
      <c r="I40" s="721"/>
      <c r="J40" s="720"/>
      <c r="K40" s="555">
        <f>H40*'DATOS REFERENCIALES'!$C$4</f>
        <v>23208.822779999999</v>
      </c>
      <c r="L40" s="555"/>
      <c r="M40" s="555"/>
      <c r="N40" s="77">
        <f>LOOKUP(C40,'TABLA ANTIG.'!$A$4:$A$39,'TABLA ANTIG.'!$B$4:$B$39)*(K40)</f>
        <v>0</v>
      </c>
      <c r="O40" s="495">
        <f t="shared" si="12"/>
        <v>2320.882278</v>
      </c>
      <c r="P40" s="562">
        <f>IF(H40&gt;1134,'DATOS REFERENCIALES'!$C$8,IF(('DATOS REFERENCIALES'!$C$8/1135*H40)&lt;'DATOS REFERENCIALES'!$F$8,'DATOS REFERENCIALES'!$F$8))</f>
        <v>13323</v>
      </c>
      <c r="Q40" s="77">
        <f>LOOKUP(C40,'TABLA ANTIG.'!$A$4:$A$39,'TABLA ANTIG.'!$B$4:$B$39)*(P40)</f>
        <v>0</v>
      </c>
      <c r="R40" s="556">
        <v>0</v>
      </c>
      <c r="S40" s="497">
        <f>IF(C40&gt;11,IF(H40&gt;1134,'DATOS REFERENCIALES'!$C$18,IF(('DATOS REFERENCIALES'!$C$18/1135*H40)&lt;'DATOS REFERENCIALES'!$F$18,'DATOS REFERENCIALES'!$F$18,'DATOS REFERENCIALES'!$C$18/1135*H40)),0)</f>
        <v>0</v>
      </c>
      <c r="T40" s="503">
        <f t="shared" ref="T40:T50" si="20">K40+N40+O40+P40+Q40+R40+S40</f>
        <v>38852.705058</v>
      </c>
      <c r="U40" s="495">
        <f t="shared" si="13"/>
        <v>4273.7975563800001</v>
      </c>
      <c r="V40" s="495">
        <f t="shared" si="14"/>
        <v>1165.58115174</v>
      </c>
      <c r="W40" s="495">
        <f t="shared" si="14"/>
        <v>1165.58115174</v>
      </c>
      <c r="X40" s="495">
        <f t="shared" si="15"/>
        <v>777.05410115999996</v>
      </c>
      <c r="Y40" s="722">
        <f t="shared" si="16"/>
        <v>1748.3717276099999</v>
      </c>
      <c r="Z40" s="495">
        <f t="shared" si="17"/>
        <v>9130.38568863</v>
      </c>
      <c r="AA40" s="549">
        <f t="shared" si="18"/>
        <v>29722.319369370001</v>
      </c>
      <c r="AB40" s="507">
        <f>'DATOS REFERENCIALES'!$C$10</f>
        <v>0</v>
      </c>
      <c r="AC40" s="77">
        <f>IF(C40&lt;12,IF(H40&gt;1134,'DATOS REFERENCIALES'!$C$17,IF(('DATOS REFERENCIALES'!$C$17/1135*H40)&lt;'DATOS REFERENCIALES'!$F$17,'DATOS REFERENCIALES'!$F$17,('DATOS REFERENCIALES'!$C$17/1135*H40))),0)</f>
        <v>16597</v>
      </c>
      <c r="AD40" s="77">
        <f>IF((IF(H40&gt;1134,('DATOS REFERENCIALES'!$C$9-(T40-U40-V40-W40-X40-Y40+AB40+AC40-L40-L40*0.235)),(('DATOS REFERENCIALES'!$C$9/1135)*H40)-(K40+N40+O40+P40+Q40+S40-U40-V40-W40-X40-Y40+AB40+AC40-(L40-L40*0.235))))&lt;0,0,IF(H40&gt;1134,(('DATOS REFERENCIALES'!$C$9)-(T40-U40-V40-W40-X40-Y40+AB40+AC40-(L40-L40*0.235))),(('DATOS REFERENCIALES'!$C$9/1135)*H40)-(K40+N40+O40+P40+Q40+S40-U40-V40-W40-X40-Y40+AB40+AC40-(L40-L40*0.235))))</f>
        <v>17235.680630629999</v>
      </c>
      <c r="AE40" s="549">
        <f t="shared" si="19"/>
        <v>63555</v>
      </c>
      <c r="AF40" s="509">
        <f>'DATOS REFERENCIALES'!$C$13</f>
        <v>5141</v>
      </c>
      <c r="AG40" s="645"/>
      <c r="AH40" s="648"/>
      <c r="AI40" s="509">
        <f>'DATOS REFERENCIALES'!$C$16</f>
        <v>2250</v>
      </c>
      <c r="AJ40" s="77">
        <f>'DATOS REFERENCIALES'!$C$12</f>
        <v>6699</v>
      </c>
      <c r="AK40" s="77">
        <f t="shared" ref="AK40:AK47" si="21">+AE40+AF40+AI40+AJ40</f>
        <v>77645</v>
      </c>
      <c r="AL40" s="17"/>
      <c r="AM40" s="17"/>
      <c r="AQ40" s="8"/>
    </row>
    <row r="41" spans="1:43" s="1" customFormat="1" ht="25.5" customHeight="1" x14ac:dyDescent="0.25">
      <c r="A41" s="34">
        <v>5029</v>
      </c>
      <c r="B41" s="118" t="s">
        <v>34</v>
      </c>
      <c r="C41" s="34">
        <v>0</v>
      </c>
      <c r="D41" s="34"/>
      <c r="E41" s="34"/>
      <c r="F41" s="34"/>
      <c r="G41" s="61">
        <v>1120</v>
      </c>
      <c r="H41" s="511">
        <v>1135</v>
      </c>
      <c r="I41" s="538"/>
      <c r="J41" s="48"/>
      <c r="K41" s="88">
        <f>H41*'DATOS REFERENCIALES'!$C$4</f>
        <v>21556.476149999999</v>
      </c>
      <c r="L41" s="88"/>
      <c r="M41" s="88"/>
      <c r="N41" s="78">
        <f>LOOKUP(C41,'TABLA ANTIG.'!$A$4:$A$39,'TABLA ANTIG.'!$B$4:$B$39)*(K41)</f>
        <v>0</v>
      </c>
      <c r="O41" s="27">
        <f t="shared" si="12"/>
        <v>2155.6476149999999</v>
      </c>
      <c r="P41" s="562">
        <f>IF(H41&gt;1134,'DATOS REFERENCIALES'!$C$8,IF(('DATOS REFERENCIALES'!$C$8/1135*H41)&lt;'DATOS REFERENCIALES'!$F$8,'DATOS REFERENCIALES'!$F$8))</f>
        <v>13323</v>
      </c>
      <c r="Q41" s="78">
        <f>LOOKUP(C41,'TABLA ANTIG.'!$A$4:$A$39,'TABLA ANTIG.'!$B$4:$B$39)*(P41)</f>
        <v>0</v>
      </c>
      <c r="R41" s="97">
        <v>0</v>
      </c>
      <c r="S41" s="499">
        <f>IF(C41&gt;11,IF(H41&gt;1134,'DATOS REFERENCIALES'!$C$18,IF(('DATOS REFERENCIALES'!$C$18/1135*H41)&lt;'DATOS REFERENCIALES'!$F$18,'DATOS REFERENCIALES'!$F$18,'DATOS REFERENCIALES'!$C$18/1135*H41)),0)</f>
        <v>0</v>
      </c>
      <c r="T41" s="155">
        <f t="shared" si="20"/>
        <v>37035.123764999997</v>
      </c>
      <c r="U41" s="27">
        <f t="shared" si="13"/>
        <v>4073.8636141499996</v>
      </c>
      <c r="V41" s="27">
        <f t="shared" si="14"/>
        <v>1111.0537129499999</v>
      </c>
      <c r="W41" s="27">
        <f t="shared" si="14"/>
        <v>1111.0537129499999</v>
      </c>
      <c r="X41" s="27">
        <f t="shared" si="15"/>
        <v>740.70247529999995</v>
      </c>
      <c r="Y41" s="152">
        <f t="shared" si="16"/>
        <v>1666.5805694249998</v>
      </c>
      <c r="Z41" s="27">
        <f t="shared" si="17"/>
        <v>8703.2540847749988</v>
      </c>
      <c r="AA41" s="127">
        <f t="shared" si="18"/>
        <v>28331.869680224998</v>
      </c>
      <c r="AB41" s="144">
        <f>'DATOS REFERENCIALES'!$C$10</f>
        <v>0</v>
      </c>
      <c r="AC41" s="78">
        <f>IF(C41&lt;12,IF(H41&gt;1134,'DATOS REFERENCIALES'!$C$17,IF(('DATOS REFERENCIALES'!$C$17/1135*H41)&lt;'DATOS REFERENCIALES'!$F$17,'DATOS REFERENCIALES'!$F$17,('DATOS REFERENCIALES'!$C$17/1135*H41))),0)</f>
        <v>16597</v>
      </c>
      <c r="AD41" s="78">
        <f>IF((IF(H41&gt;1134,('DATOS REFERENCIALES'!$C$9-(T41-U41-V41-W41-X41-Y41+AB41+AC41-L41-L41*0.235)),(('DATOS REFERENCIALES'!$C$9/1135)*H41)-(K41+N41+O41+P41+Q41+S41-U41-V41-W41-X41-Y41+AB41+AC41-(L41-L41*0.235))))&lt;0,0,IF(H41&gt;1134,(('DATOS REFERENCIALES'!$C$9)-(T41-U41-V41-W41-X41-Y41+AB41+AC41-(L41-L41*0.235))),(('DATOS REFERENCIALES'!$C$9/1135)*H41)-(K41+N41+O41+P41+Q41+S41-U41-V41-W41-X41-Y41+AB41+AC41-(L41-L41*0.235))))</f>
        <v>18626.130319775009</v>
      </c>
      <c r="AE41" s="127">
        <f t="shared" si="19"/>
        <v>63555.000000000007</v>
      </c>
      <c r="AF41" s="90">
        <f>'DATOS REFERENCIALES'!$C$13</f>
        <v>5141</v>
      </c>
      <c r="AG41" s="646"/>
      <c r="AH41" s="649"/>
      <c r="AI41" s="90">
        <f>'DATOS REFERENCIALES'!$C$16</f>
        <v>2250</v>
      </c>
      <c r="AJ41" s="78">
        <f>'DATOS REFERENCIALES'!$C$12</f>
        <v>6699</v>
      </c>
      <c r="AK41" s="78">
        <f t="shared" si="21"/>
        <v>77645</v>
      </c>
      <c r="AL41" s="17"/>
      <c r="AM41" s="17"/>
      <c r="AQ41" s="8"/>
    </row>
    <row r="42" spans="1:43" s="1" customFormat="1" ht="27.75" customHeight="1" x14ac:dyDescent="0.25">
      <c r="A42" s="34">
        <v>5028</v>
      </c>
      <c r="B42" s="177" t="s">
        <v>35</v>
      </c>
      <c r="C42" s="34">
        <v>0</v>
      </c>
      <c r="D42" s="36"/>
      <c r="E42" s="36"/>
      <c r="F42" s="36"/>
      <c r="G42" s="62">
        <v>1222</v>
      </c>
      <c r="H42" s="47">
        <f t="shared" si="11"/>
        <v>1222</v>
      </c>
      <c r="I42" s="47"/>
      <c r="J42" s="47"/>
      <c r="K42" s="88">
        <f>H42*'DATOS REFERENCIALES'!$C$4</f>
        <v>23208.822779999999</v>
      </c>
      <c r="L42" s="88"/>
      <c r="M42" s="88"/>
      <c r="N42" s="78">
        <f>LOOKUP(C42,'TABLA ANTIG.'!$A$4:$A$39,'TABLA ANTIG.'!$B$4:$B$39)*(K42)</f>
        <v>0</v>
      </c>
      <c r="O42" s="27">
        <f t="shared" si="12"/>
        <v>2320.882278</v>
      </c>
      <c r="P42" s="562">
        <f>IF(H42&gt;1134,'DATOS REFERENCIALES'!$C$8,IF(('DATOS REFERENCIALES'!$C$8/1135*H42)&lt;'DATOS REFERENCIALES'!$F$8,'DATOS REFERENCIALES'!$F$8))</f>
        <v>13323</v>
      </c>
      <c r="Q42" s="78">
        <f>LOOKUP(C42,'TABLA ANTIG.'!$A$4:$A$39,'TABLA ANTIG.'!$B$4:$B$39)*(P42)</f>
        <v>0</v>
      </c>
      <c r="R42" s="97">
        <v>0</v>
      </c>
      <c r="S42" s="499">
        <f>IF(C42&gt;11,IF(H42&gt;1134,'DATOS REFERENCIALES'!$C$18,IF(('DATOS REFERENCIALES'!$C$18/1135*H42)&lt;'DATOS REFERENCIALES'!$F$18,'DATOS REFERENCIALES'!$F$18,'DATOS REFERENCIALES'!$C$18/1135*H42)),0)</f>
        <v>0</v>
      </c>
      <c r="T42" s="155">
        <f t="shared" si="20"/>
        <v>38852.705058</v>
      </c>
      <c r="U42" s="27">
        <f t="shared" si="13"/>
        <v>4273.7975563800001</v>
      </c>
      <c r="V42" s="27">
        <f t="shared" si="14"/>
        <v>1165.58115174</v>
      </c>
      <c r="W42" s="27">
        <f t="shared" si="14"/>
        <v>1165.58115174</v>
      </c>
      <c r="X42" s="27">
        <f t="shared" si="15"/>
        <v>777.05410115999996</v>
      </c>
      <c r="Y42" s="152">
        <f t="shared" si="16"/>
        <v>1748.3717276099999</v>
      </c>
      <c r="Z42" s="27">
        <f t="shared" si="17"/>
        <v>9130.38568863</v>
      </c>
      <c r="AA42" s="127">
        <f t="shared" si="18"/>
        <v>29722.319369370001</v>
      </c>
      <c r="AB42" s="144">
        <f>'DATOS REFERENCIALES'!$C$10</f>
        <v>0</v>
      </c>
      <c r="AC42" s="78">
        <f>IF(C42&lt;12,IF(H42&gt;1134,'DATOS REFERENCIALES'!$C$17,IF(('DATOS REFERENCIALES'!$C$17/1135*H42)&lt;'DATOS REFERENCIALES'!$F$17,'DATOS REFERENCIALES'!$F$17,('DATOS REFERENCIALES'!$C$17/1135*H42))),0)</f>
        <v>16597</v>
      </c>
      <c r="AD42" s="78">
        <f>IF((IF(H42&gt;1134,('DATOS REFERENCIALES'!$C$9-(T42-U42-V42-W42-X42-Y42+AB42+AC42-L42-L42*0.235)),(('DATOS REFERENCIALES'!$C$9/1135)*H42)-(K42+N42+O42+P42+Q42+S42-U42-V42-W42-X42-Y42+AB42+AC42-(L42-L42*0.235))))&lt;0,0,IF(H42&gt;1134,(('DATOS REFERENCIALES'!$C$9)-(T42-U42-V42-W42-X42-Y42+AB42+AC42-(L42-L42*0.235))),(('DATOS REFERENCIALES'!$C$9/1135)*H42)-(K42+N42+O42+P42+Q42+S42-U42-V42-W42-X42-Y42+AB42+AC42-(L42-L42*0.235))))</f>
        <v>17235.680630629999</v>
      </c>
      <c r="AE42" s="127">
        <f t="shared" si="19"/>
        <v>63555</v>
      </c>
      <c r="AF42" s="90">
        <f>'DATOS REFERENCIALES'!$C$13</f>
        <v>5141</v>
      </c>
      <c r="AG42" s="646"/>
      <c r="AH42" s="649"/>
      <c r="AI42" s="90">
        <f>'DATOS REFERENCIALES'!$C$16</f>
        <v>2250</v>
      </c>
      <c r="AJ42" s="78">
        <f>'DATOS REFERENCIALES'!$C$12</f>
        <v>6699</v>
      </c>
      <c r="AK42" s="78">
        <f t="shared" si="21"/>
        <v>77645</v>
      </c>
      <c r="AL42" s="17"/>
      <c r="AM42" s="17"/>
      <c r="AQ42" s="8"/>
    </row>
    <row r="43" spans="1:43" s="1" customFormat="1" ht="21.75" customHeight="1" x14ac:dyDescent="0.25">
      <c r="A43" s="34">
        <v>5035</v>
      </c>
      <c r="B43" s="177" t="s">
        <v>36</v>
      </c>
      <c r="C43" s="34">
        <v>0</v>
      </c>
      <c r="D43" s="36"/>
      <c r="E43" s="36"/>
      <c r="F43" s="36"/>
      <c r="G43" s="62">
        <v>1032</v>
      </c>
      <c r="H43" s="47">
        <f t="shared" si="11"/>
        <v>1032</v>
      </c>
      <c r="I43" s="47"/>
      <c r="J43" s="47"/>
      <c r="K43" s="88">
        <f>H43*'DATOS REFERENCIALES'!$C$4</f>
        <v>19600.249680000001</v>
      </c>
      <c r="L43" s="88"/>
      <c r="M43" s="88"/>
      <c r="N43" s="78">
        <f>LOOKUP(C43,'TABLA ANTIG.'!$A$4:$A$39,'TABLA ANTIG.'!$B$4:$B$39)*(K43)</f>
        <v>0</v>
      </c>
      <c r="O43" s="27">
        <f t="shared" si="12"/>
        <v>1960.0249680000002</v>
      </c>
      <c r="P43" s="562">
        <f>IF(H43&gt;1134,'DATOS REFERENCIALES'!$C$8,IF(('DATOS REFERENCIALES'!$C$8/1135*H43)&lt;'DATOS REFERENCIALES'!$F$8,'DATOS REFERENCIALES'!$F$8))</f>
        <v>12239</v>
      </c>
      <c r="Q43" s="78">
        <f>LOOKUP(C43,'TABLA ANTIG.'!$A$4:$A$39,'TABLA ANTIG.'!$B$4:$B$39)*(P43)</f>
        <v>0</v>
      </c>
      <c r="R43" s="144">
        <v>0</v>
      </c>
      <c r="S43" s="499">
        <f>IF(C43&gt;11,IF(H43&gt;1134,'DATOS REFERENCIALES'!$C$18,IF(('DATOS REFERENCIALES'!$C$18/1135*H43)&lt;'DATOS REFERENCIALES'!$F$18,'DATOS REFERENCIALES'!$F$18,'DATOS REFERENCIALES'!$C$18/1135*H43)),0)</f>
        <v>0</v>
      </c>
      <c r="T43" s="155">
        <f t="shared" si="20"/>
        <v>33799.274648000006</v>
      </c>
      <c r="U43" s="78">
        <f t="shared" si="13"/>
        <v>3717.9202112800008</v>
      </c>
      <c r="V43" s="78">
        <f t="shared" si="14"/>
        <v>1013.9782394400002</v>
      </c>
      <c r="W43" s="78">
        <f t="shared" si="14"/>
        <v>1013.9782394400002</v>
      </c>
      <c r="X43" s="78">
        <f t="shared" si="15"/>
        <v>675.9854929600001</v>
      </c>
      <c r="Y43" s="148">
        <f t="shared" si="16"/>
        <v>1520.9673591600001</v>
      </c>
      <c r="Z43" s="27">
        <f t="shared" si="17"/>
        <v>7942.829542280002</v>
      </c>
      <c r="AA43" s="127">
        <f t="shared" si="18"/>
        <v>25856.445105720006</v>
      </c>
      <c r="AB43" s="144">
        <f>'DATOS REFERENCIALES'!$C$10</f>
        <v>0</v>
      </c>
      <c r="AC43" s="78">
        <f>IF(C43&lt;12,IF(H43&gt;1134,'DATOS REFERENCIALES'!$C$17,IF(('DATOS REFERENCIALES'!$C$17/1135*H43)&lt;'DATOS REFERENCIALES'!$F$17,'DATOS REFERENCIALES'!$F$17,('DATOS REFERENCIALES'!$C$17/1135*H43))),0)</f>
        <v>15925</v>
      </c>
      <c r="AD43" s="78">
        <f>IF((IF(H43&gt;1134,('DATOS REFERENCIALES'!$C$9-(T43-U43-V43-W43-X43-Y43+AB43+AC43-L43-L43*0.235)),(('DATOS REFERENCIALES'!$C$9/1135)*H43)-(K43+N43+O43+P43+Q43+S43-U43-V43-W43-X43-Y43+AB43+AC43-(L43-L43*0.235))))&lt;0,0,IF(H43&gt;1134,(('DATOS REFERENCIALES'!$C$9)-(T43-U43-V43-W43-X43-Y43+AB43+AC43-(L43-L43*0.235))),(('DATOS REFERENCIALES'!$C$9/1135)*H43)-(K43+N43+O43+P43+Q43+S43-U43-V43-W43-X43-Y43+AB43+AC43-(L43-L43*0.235))))</f>
        <v>16006.00863877339</v>
      </c>
      <c r="AE43" s="127">
        <f>SUM(AA43:AD43)</f>
        <v>57787.453744493396</v>
      </c>
      <c r="AF43" s="90">
        <f>'DATOS REFERENCIALES'!$C$13</f>
        <v>5141</v>
      </c>
      <c r="AG43" s="646"/>
      <c r="AH43" s="649"/>
      <c r="AI43" s="90">
        <f>'DATOS REFERENCIALES'!$C$16</f>
        <v>2250</v>
      </c>
      <c r="AJ43" s="78">
        <f>'DATOS REFERENCIALES'!$C$12</f>
        <v>6699</v>
      </c>
      <c r="AK43" s="78">
        <f t="shared" si="21"/>
        <v>71877.453744493396</v>
      </c>
      <c r="AL43" s="17"/>
      <c r="AM43" s="17"/>
      <c r="AQ43" s="8"/>
    </row>
    <row r="44" spans="1:43" s="1" customFormat="1" ht="21.75" customHeight="1" x14ac:dyDescent="0.25">
      <c r="A44" s="34">
        <v>5051</v>
      </c>
      <c r="B44" s="177" t="s">
        <v>37</v>
      </c>
      <c r="C44" s="34">
        <v>0</v>
      </c>
      <c r="D44" s="34"/>
      <c r="E44" s="34"/>
      <c r="F44" s="34"/>
      <c r="G44" s="61">
        <v>929</v>
      </c>
      <c r="H44" s="48">
        <f t="shared" si="11"/>
        <v>929</v>
      </c>
      <c r="I44" s="48"/>
      <c r="J44" s="48"/>
      <c r="K44" s="88">
        <f>H44*'DATOS REFERENCIALES'!$C$4</f>
        <v>17644.023209999999</v>
      </c>
      <c r="L44" s="88"/>
      <c r="M44" s="88"/>
      <c r="N44" s="78">
        <f>LOOKUP(C44,'TABLA ANTIG.'!$A$4:$A$39,'TABLA ANTIG.'!$B$4:$B$39)*(K44)</f>
        <v>0</v>
      </c>
      <c r="O44" s="27">
        <f t="shared" si="12"/>
        <v>1764.402321</v>
      </c>
      <c r="P44" s="562">
        <f>IF(H44&gt;1134,'DATOS REFERENCIALES'!$C$8,IF(('DATOS REFERENCIALES'!$C$8/1135*H44)&lt;'DATOS REFERENCIALES'!$F$8,'DATOS REFERENCIALES'!$F$8))</f>
        <v>12239</v>
      </c>
      <c r="Q44" s="78">
        <f>LOOKUP(C44,'TABLA ANTIG.'!$A$4:$A$39,'TABLA ANTIG.'!$B$4:$B$39)*(P44)</f>
        <v>0</v>
      </c>
      <c r="R44" s="97">
        <v>0</v>
      </c>
      <c r="S44" s="499">
        <f>IF(C44&gt;11,IF(H44&gt;1134,'DATOS REFERENCIALES'!$C$18,IF(('DATOS REFERENCIALES'!$C$18/1135*H44)&lt;'DATOS REFERENCIALES'!$F$18,'DATOS REFERENCIALES'!$F$18,'DATOS REFERENCIALES'!$C$18/1135*H44)),0)</f>
        <v>0</v>
      </c>
      <c r="T44" s="155">
        <f t="shared" si="20"/>
        <v>31647.425531000001</v>
      </c>
      <c r="U44" s="27">
        <f t="shared" si="13"/>
        <v>3481.2168084099999</v>
      </c>
      <c r="V44" s="27">
        <f t="shared" si="14"/>
        <v>949.42276592999997</v>
      </c>
      <c r="W44" s="27">
        <f t="shared" si="14"/>
        <v>949.42276592999997</v>
      </c>
      <c r="X44" s="27">
        <f t="shared" si="15"/>
        <v>632.94851061999998</v>
      </c>
      <c r="Y44" s="152">
        <f t="shared" si="16"/>
        <v>1424.134148895</v>
      </c>
      <c r="Z44" s="27">
        <f t="shared" si="17"/>
        <v>7437.1449997850004</v>
      </c>
      <c r="AA44" s="127">
        <f t="shared" si="18"/>
        <v>24210.280531215001</v>
      </c>
      <c r="AB44" s="144">
        <f>'DATOS REFERENCIALES'!$C$10</f>
        <v>0</v>
      </c>
      <c r="AC44" s="78">
        <f>IF(C44&lt;12,IF(H44&gt;1134,'DATOS REFERENCIALES'!$C$17,IF(('DATOS REFERENCIALES'!$C$17/1135*H44)&lt;'DATOS REFERENCIALES'!$F$17,'DATOS REFERENCIALES'!$F$17,('DATOS REFERENCIALES'!$C$17/1135*H44))),0)</f>
        <v>15925</v>
      </c>
      <c r="AD44" s="78">
        <f>IF((IF(H44&gt;1134,('DATOS REFERENCIALES'!$C$9-(T44-U44-V44-W44-X44-Y44+AB44+AC44-L44-L44*0.235)),(('DATOS REFERENCIALES'!$C$9/1135)*H44)-(K44+N44+O44+P44+Q44+S44-U44-V44-W44-X44-Y44+AB44+AC44-(L44-L44*0.235))))&lt;0,0,IF(H44&gt;1134,(('DATOS REFERENCIALES'!$C$9)-(T44-U44-V44-W44-X44-Y44+AB44+AC44-(L44-L44*0.235))),(('DATOS REFERENCIALES'!$C$9/1135)*H44)-(K44+N44+O44+P44+Q44+S44-U44-V44-W44-X44-Y44+AB44+AC44-(L44-L44*0.235))))</f>
        <v>11884.626957771783</v>
      </c>
      <c r="AE44" s="127">
        <f t="shared" si="19"/>
        <v>52019.907488986784</v>
      </c>
      <c r="AF44" s="90">
        <f>'DATOS REFERENCIALES'!$C$13</f>
        <v>5141</v>
      </c>
      <c r="AG44" s="646"/>
      <c r="AH44" s="649"/>
      <c r="AI44" s="90">
        <f>'DATOS REFERENCIALES'!$C$16</f>
        <v>2250</v>
      </c>
      <c r="AJ44" s="78">
        <f>'DATOS REFERENCIALES'!$C$12</f>
        <v>6699</v>
      </c>
      <c r="AK44" s="78">
        <f t="shared" si="21"/>
        <v>66109.907488986792</v>
      </c>
      <c r="AL44" s="17"/>
      <c r="AM44" s="17"/>
      <c r="AQ44" s="8"/>
    </row>
    <row r="45" spans="1:43" s="1" customFormat="1" ht="21.75" customHeight="1" x14ac:dyDescent="0.25">
      <c r="A45" s="73">
        <v>1557</v>
      </c>
      <c r="B45" s="107" t="s">
        <v>75</v>
      </c>
      <c r="C45" s="34">
        <v>0</v>
      </c>
      <c r="D45" s="34"/>
      <c r="E45" s="34"/>
      <c r="F45" s="34"/>
      <c r="G45" s="61">
        <v>823</v>
      </c>
      <c r="H45" s="48">
        <f t="shared" si="11"/>
        <v>823</v>
      </c>
      <c r="I45" s="48"/>
      <c r="J45" s="48"/>
      <c r="K45" s="88">
        <f>H45*'DATOS REFERENCIALES'!$C$4</f>
        <v>15630.81927</v>
      </c>
      <c r="L45" s="88"/>
      <c r="M45" s="88"/>
      <c r="N45" s="78">
        <f>LOOKUP(C45,'TABLA ANTIG.'!$A$4:$A$39,'TABLA ANTIG.'!$B$4:$B$39)*(K45)</f>
        <v>0</v>
      </c>
      <c r="O45" s="27">
        <f t="shared" si="12"/>
        <v>1563.0819270000002</v>
      </c>
      <c r="P45" s="562">
        <f>IF(H45&gt;1134,'DATOS REFERENCIALES'!$C$8,IF(('DATOS REFERENCIALES'!$C$8/1135*H45)&lt;'DATOS REFERENCIALES'!$F$8,'DATOS REFERENCIALES'!$F$8))</f>
        <v>12239</v>
      </c>
      <c r="Q45" s="78">
        <f>LOOKUP(C45,'TABLA ANTIG.'!$A$4:$A$39,'TABLA ANTIG.'!$B$4:$B$39)*(P45)</f>
        <v>0</v>
      </c>
      <c r="R45" s="97">
        <v>0</v>
      </c>
      <c r="S45" s="499">
        <f>IF(C45&gt;11,IF(H45&gt;1134,'DATOS REFERENCIALES'!$C$18,IF(('DATOS REFERENCIALES'!$C$18/1135*H45)&lt;'DATOS REFERENCIALES'!$F$18,'DATOS REFERENCIALES'!$F$18,'DATOS REFERENCIALES'!$C$18/1135*H45)),0)</f>
        <v>0</v>
      </c>
      <c r="T45" s="155">
        <f t="shared" si="20"/>
        <v>29432.901196999999</v>
      </c>
      <c r="U45" s="27">
        <f t="shared" si="13"/>
        <v>3237.6191316700001</v>
      </c>
      <c r="V45" s="27">
        <f t="shared" si="14"/>
        <v>882.98703590999992</v>
      </c>
      <c r="W45" s="27">
        <f t="shared" si="14"/>
        <v>882.98703590999992</v>
      </c>
      <c r="X45" s="27">
        <f t="shared" si="15"/>
        <v>588.65802394000002</v>
      </c>
      <c r="Y45" s="152">
        <f t="shared" si="16"/>
        <v>1324.4805538649998</v>
      </c>
      <c r="Z45" s="27">
        <f t="shared" si="17"/>
        <v>6916.7317812949996</v>
      </c>
      <c r="AA45" s="127">
        <f t="shared" si="18"/>
        <v>22516.169415705001</v>
      </c>
      <c r="AB45" s="144">
        <f>'DATOS REFERENCIALES'!$C$10</f>
        <v>0</v>
      </c>
      <c r="AC45" s="78">
        <f>IF(C45&lt;12,IF(H45&gt;1134,'DATOS REFERENCIALES'!$C$17,IF(('DATOS REFERENCIALES'!$C$17/1135*H45)&lt;'DATOS REFERENCIALES'!$F$17,'DATOS REFERENCIALES'!$F$17,('DATOS REFERENCIALES'!$C$17/1135*H45))),0)</f>
        <v>15925</v>
      </c>
      <c r="AD45" s="78">
        <f>IF((IF(H45&gt;1134,('DATOS REFERENCIALES'!$C$9-(T45-U45-V45-W45-X45-Y45+AB45+AC45-L45-L45*0.235)),(('DATOS REFERENCIALES'!$C$9/1135)*H45)-(K45+N45+O45+P45+Q45+S45-U45-V45-W45-X45-Y45+AB45+AC45-(L45-L45*0.235))))&lt;0,0,IF(H45&gt;1134,(('DATOS REFERENCIALES'!$C$9)-(T45-U45-V45-W45-X45-Y45+AB45+AC45-(L45-L45*0.235))),(('DATOS REFERENCIALES'!$C$9/1135)*H45)-(K45+N45+O45+P45+Q45+S45-U45-V45-W45-X45-Y45+AB45+AC45-(L45-L45*0.235))))</f>
        <v>7643.2050336341999</v>
      </c>
      <c r="AE45" s="127">
        <f t="shared" si="19"/>
        <v>46084.374449339201</v>
      </c>
      <c r="AF45" s="90">
        <f>'DATOS REFERENCIALES'!$C$13</f>
        <v>5141</v>
      </c>
      <c r="AG45" s="646"/>
      <c r="AH45" s="649"/>
      <c r="AI45" s="90">
        <f>'DATOS REFERENCIALES'!$C$16</f>
        <v>2250</v>
      </c>
      <c r="AJ45" s="78">
        <f>'DATOS REFERENCIALES'!$C$12</f>
        <v>6699</v>
      </c>
      <c r="AK45" s="78">
        <f t="shared" si="21"/>
        <v>60174.374449339201</v>
      </c>
      <c r="AL45" s="17"/>
      <c r="AM45" s="17"/>
      <c r="AQ45" s="8"/>
    </row>
    <row r="46" spans="1:43" s="1" customFormat="1" ht="21.75" customHeight="1" x14ac:dyDescent="0.25">
      <c r="A46" s="73">
        <v>1568</v>
      </c>
      <c r="B46" s="107" t="s">
        <v>76</v>
      </c>
      <c r="C46" s="34">
        <v>0</v>
      </c>
      <c r="D46" s="34"/>
      <c r="E46" s="34"/>
      <c r="F46" s="34"/>
      <c r="G46" s="61">
        <v>1008</v>
      </c>
      <c r="H46" s="48">
        <f t="shared" si="11"/>
        <v>1008</v>
      </c>
      <c r="I46" s="48"/>
      <c r="J46" s="48"/>
      <c r="K46" s="88">
        <f>H46*'DATOS REFERENCIALES'!$C$4</f>
        <v>19144.429919999999</v>
      </c>
      <c r="L46" s="88"/>
      <c r="M46" s="88"/>
      <c r="N46" s="78">
        <f>LOOKUP(C46,'TABLA ANTIG.'!$A$4:$A$39,'TABLA ANTIG.'!$B$4:$B$39)*(K46)</f>
        <v>0</v>
      </c>
      <c r="O46" s="27">
        <f t="shared" si="12"/>
        <v>1914.442992</v>
      </c>
      <c r="P46" s="562">
        <f>IF(H46&gt;1134,'DATOS REFERENCIALES'!$C$8,IF(('DATOS REFERENCIALES'!$C$8/1135*H46)&lt;'DATOS REFERENCIALES'!$F$8,'DATOS REFERENCIALES'!$F$8))</f>
        <v>12239</v>
      </c>
      <c r="Q46" s="78">
        <f>LOOKUP(C46,'TABLA ANTIG.'!$A$4:$A$39,'TABLA ANTIG.'!$B$4:$B$39)*(P46)</f>
        <v>0</v>
      </c>
      <c r="R46" s="144">
        <v>0</v>
      </c>
      <c r="S46" s="499">
        <f>IF(C46&gt;11,IF(H46&gt;1134,'DATOS REFERENCIALES'!$C$18,IF(('DATOS REFERENCIALES'!$C$18/1135*H46)&lt;'DATOS REFERENCIALES'!$F$18,'DATOS REFERENCIALES'!$F$18,'DATOS REFERENCIALES'!$C$18/1135*H46)),0)</f>
        <v>0</v>
      </c>
      <c r="T46" s="155">
        <f t="shared" si="20"/>
        <v>33297.872911999999</v>
      </c>
      <c r="U46" s="78">
        <f t="shared" si="13"/>
        <v>3662.7660203199998</v>
      </c>
      <c r="V46" s="78">
        <f t="shared" si="14"/>
        <v>998.93618735999996</v>
      </c>
      <c r="W46" s="78">
        <f t="shared" si="14"/>
        <v>998.93618735999996</v>
      </c>
      <c r="X46" s="78">
        <f t="shared" si="15"/>
        <v>665.95745823999994</v>
      </c>
      <c r="Y46" s="148">
        <f t="shared" si="16"/>
        <v>1498.4042810399999</v>
      </c>
      <c r="Z46" s="27">
        <f t="shared" si="17"/>
        <v>7825.0001343199992</v>
      </c>
      <c r="AA46" s="127">
        <f t="shared" si="18"/>
        <v>25472.872777680001</v>
      </c>
      <c r="AB46" s="144">
        <f>'DATOS REFERENCIALES'!$C$10</f>
        <v>0</v>
      </c>
      <c r="AC46" s="78">
        <f>IF(C46&lt;12,IF(H46&gt;1134,'DATOS REFERENCIALES'!$C$17,IF(('DATOS REFERENCIALES'!$C$17/1135*H46)&lt;'DATOS REFERENCIALES'!$F$17,'DATOS REFERENCIALES'!$F$17,('DATOS REFERENCIALES'!$C$17/1135*H46))),0)</f>
        <v>15925</v>
      </c>
      <c r="AD46" s="78">
        <f>IF((IF(H46&gt;1134,('DATOS REFERENCIALES'!$C$9-(T46-U46-V46-W46-X46-Y46+AB46+AC46-L46-L46*0.235)),(('DATOS REFERENCIALES'!$C$9/1135)*H46)-(K46+N46+O46+P46+Q46+S46-U46-V46-W46-X46-Y46+AB46+AC46-(L46-L46*0.235))))&lt;0,0,IF(H46&gt;1134,(('DATOS REFERENCIALES'!$C$9)-(T46-U46-V46-W46-X46-Y46+AB46+AC46-(L46-L46*0.235))),(('DATOS REFERENCIALES'!$C$9/1135)*H46)-(K46+N46+O46+P46+Q46+S46-U46-V46-W46-X46-Y46+AB46+AC46-(L46-L46*0.235))))</f>
        <v>15045.686693685631</v>
      </c>
      <c r="AE46" s="127">
        <f t="shared" si="19"/>
        <v>56443.559471365632</v>
      </c>
      <c r="AF46" s="90">
        <f>'DATOS REFERENCIALES'!$C$13</f>
        <v>5141</v>
      </c>
      <c r="AG46" s="646"/>
      <c r="AH46" s="649"/>
      <c r="AI46" s="90">
        <f>'DATOS REFERENCIALES'!$C$16</f>
        <v>2250</v>
      </c>
      <c r="AJ46" s="78">
        <f>'DATOS REFERENCIALES'!$C$12</f>
        <v>6699</v>
      </c>
      <c r="AK46" s="78">
        <f t="shared" si="21"/>
        <v>70533.559471365632</v>
      </c>
      <c r="AL46" s="17"/>
      <c r="AM46" s="17"/>
      <c r="AQ46" s="8"/>
    </row>
    <row r="47" spans="1:43" s="1" customFormat="1" ht="21.75" customHeight="1" x14ac:dyDescent="0.25">
      <c r="A47" s="73">
        <v>1599</v>
      </c>
      <c r="B47" s="99" t="s">
        <v>96</v>
      </c>
      <c r="C47" s="34">
        <v>0</v>
      </c>
      <c r="D47" s="36">
        <v>1</v>
      </c>
      <c r="E47" s="34"/>
      <c r="F47" s="34"/>
      <c r="G47" s="51">
        <v>56</v>
      </c>
      <c r="H47" s="34">
        <f t="shared" si="11"/>
        <v>56</v>
      </c>
      <c r="I47" s="34"/>
      <c r="J47" s="34"/>
      <c r="K47" s="88">
        <f>(H47*'DATOS REFERENCIALES'!$C$4)*D47</f>
        <v>1063.57944</v>
      </c>
      <c r="L47" s="88"/>
      <c r="M47" s="88"/>
      <c r="N47" s="78">
        <f>LOOKUP(C47,'TABLA ANTIG.'!$A$4:$A$39,'TABLA ANTIG.'!$B$4:$B$39)*(K47)</f>
        <v>0</v>
      </c>
      <c r="O47" s="27">
        <f t="shared" si="12"/>
        <v>106.357944</v>
      </c>
      <c r="P47" s="652">
        <f>IF(D47&gt;38,'DATOS REFERENCIALES'!$D$8,'DATOS REFERENCIALES'!$E$8*D47)</f>
        <v>701.21052631578948</v>
      </c>
      <c r="Q47" s="78">
        <f>LOOKUP(C47,'TABLA ANTIG.'!$A$4:$A$39,'TABLA ANTIG.'!$B$4:$B$39)*(P47)</f>
        <v>0</v>
      </c>
      <c r="R47" s="144">
        <v>0</v>
      </c>
      <c r="S47" s="499">
        <f>IF(C47&gt;11,IF(H47&gt;1134,'DATOS REFERENCIALES'!$C$18,'DATOS REFERENCIALES'!$C$18/20*D47),0)</f>
        <v>0</v>
      </c>
      <c r="T47" s="155">
        <f t="shared" si="20"/>
        <v>1871.1479103157894</v>
      </c>
      <c r="U47" s="78">
        <f t="shared" si="13"/>
        <v>205.82627013473683</v>
      </c>
      <c r="V47" s="78">
        <f t="shared" si="14"/>
        <v>56.134437309473682</v>
      </c>
      <c r="W47" s="78">
        <f t="shared" si="14"/>
        <v>56.134437309473682</v>
      </c>
      <c r="X47" s="78">
        <f t="shared" si="15"/>
        <v>37.422958206315791</v>
      </c>
      <c r="Y47" s="148">
        <f t="shared" si="16"/>
        <v>84.201655964210516</v>
      </c>
      <c r="Z47" s="27">
        <f t="shared" si="17"/>
        <v>439.71975892421051</v>
      </c>
      <c r="AA47" s="127">
        <f t="shared" si="18"/>
        <v>1431.4281513915789</v>
      </c>
      <c r="AB47" s="144">
        <f>IF(D47&gt;38,'DATOS REFERENCIALES'!$D$10,'DATOS REFERENCIALES'!$E$10*D47)</f>
        <v>0</v>
      </c>
      <c r="AC47" s="673">
        <f>IF(C47&lt;12,IF(D47&gt;'DATOS REFERENCIALES'!$J$17,'DATOS REFERENCIALES'!$D$17,('DATOS REFERENCIALES'!$E$17*D47)),0)</f>
        <v>873.52631578947364</v>
      </c>
      <c r="AD47" s="78">
        <f>IF(D47&gt;41,IF((('DATOS REFERENCIALES'!$D$9)-((T47)-Z47+(AB47)+(AC47)))&lt;0,0,((('DATOS REFERENCIALES'!$D$9)-((T47)-(Z47)+(AB47)+(AC47))))),IF((('DATOS REFERENCIALES'!$E$9*D47)-(((T47)-Z47+(AB47)+(AC47))))&lt;0,0,('DATOS REFERENCIALES'!$E$9*D47)-((T47)-(Z47)+(AB47)+(AC47))))</f>
        <v>872.79553281894732</v>
      </c>
      <c r="AE47" s="127">
        <f t="shared" si="19"/>
        <v>3177.75</v>
      </c>
      <c r="AF47" s="90">
        <f>IF(D47&gt;30,'DATOS REFERENCIALES'!$D$13,('DATOS REFERENCIALES'!$E$13*D47))</f>
        <v>342.73333333333335</v>
      </c>
      <c r="AG47" s="646"/>
      <c r="AH47" s="649"/>
      <c r="AI47" s="651">
        <f>IF(D47&gt;'DATOS REFERENCIALES'!$J$16,'DATOS REFERENCIALES'!$D$16,'DATOS REFERENCIALES'!$E$16*D47)</f>
        <v>150</v>
      </c>
      <c r="AJ47" s="78">
        <f>IF(D47&gt;'DATOS REFERENCIALES'!$J$12,'DATOS REFERENCIALES'!$D$12,'DATOS REFERENCIALES'!$E$12*D47)</f>
        <v>446.6</v>
      </c>
      <c r="AK47" s="78">
        <f t="shared" si="21"/>
        <v>4117.0833333333339</v>
      </c>
      <c r="AL47" s="17"/>
      <c r="AM47" s="17"/>
      <c r="AQ47" s="8"/>
    </row>
    <row r="48" spans="1:43" s="1" customFormat="1" ht="21.75" customHeight="1" x14ac:dyDescent="0.25">
      <c r="A48" s="73">
        <v>1599</v>
      </c>
      <c r="B48" s="99" t="s">
        <v>97</v>
      </c>
      <c r="C48" s="34">
        <v>0</v>
      </c>
      <c r="D48" s="36">
        <v>1</v>
      </c>
      <c r="E48" s="34"/>
      <c r="F48" s="34"/>
      <c r="G48" s="51">
        <v>56</v>
      </c>
      <c r="H48" s="34">
        <f t="shared" si="11"/>
        <v>56</v>
      </c>
      <c r="I48" s="34"/>
      <c r="J48" s="34"/>
      <c r="K48" s="88">
        <f>(H48*'DATOS REFERENCIALES'!$C$4)*D48</f>
        <v>1063.57944</v>
      </c>
      <c r="L48" s="88"/>
      <c r="M48" s="88"/>
      <c r="N48" s="78">
        <f>LOOKUP(C48,'TABLA ANTIG.'!$A$4:$A$39,'TABLA ANTIG.'!$B$4:$B$39)*(K48)</f>
        <v>0</v>
      </c>
      <c r="O48" s="27">
        <f t="shared" si="12"/>
        <v>106.357944</v>
      </c>
      <c r="P48" s="652">
        <f>IF(D48&gt;38,'DATOS REFERENCIALES'!$D$8,'DATOS REFERENCIALES'!$E$8*D48)</f>
        <v>701.21052631578948</v>
      </c>
      <c r="Q48" s="78">
        <f>LOOKUP(C48,'TABLA ANTIG.'!$A$4:$A$39,'TABLA ANTIG.'!$B$4:$B$39)*(P48)</f>
        <v>0</v>
      </c>
      <c r="R48" s="144">
        <v>0</v>
      </c>
      <c r="S48" s="499">
        <f>IF(C48&gt;11,IF(H48&gt;1134,'DATOS REFERENCIALES'!$C$18,'DATOS REFERENCIALES'!$C$18/20*D48),0)</f>
        <v>0</v>
      </c>
      <c r="T48" s="155">
        <f t="shared" si="20"/>
        <v>1871.1479103157894</v>
      </c>
      <c r="U48" s="78">
        <f t="shared" si="13"/>
        <v>205.82627013473683</v>
      </c>
      <c r="V48" s="78">
        <f t="shared" si="14"/>
        <v>56.134437309473682</v>
      </c>
      <c r="W48" s="78">
        <f t="shared" si="14"/>
        <v>56.134437309473682</v>
      </c>
      <c r="X48" s="78">
        <f t="shared" si="15"/>
        <v>37.422958206315791</v>
      </c>
      <c r="Y48" s="148">
        <f t="shared" si="16"/>
        <v>84.201655964210516</v>
      </c>
      <c r="Z48" s="27">
        <f t="shared" si="17"/>
        <v>439.71975892421051</v>
      </c>
      <c r="AA48" s="127">
        <f t="shared" si="18"/>
        <v>1431.4281513915789</v>
      </c>
      <c r="AB48" s="144">
        <f>IF(D48&gt;38,'DATOS REFERENCIALES'!$D$10,'DATOS REFERENCIALES'!$E$10*D48)</f>
        <v>0</v>
      </c>
      <c r="AC48" s="673">
        <f>IF(C48&lt;12,IF(D48&gt;'DATOS REFERENCIALES'!$J$17,'DATOS REFERENCIALES'!$D$17,('DATOS REFERENCIALES'!$E$17*D48)),0)</f>
        <v>873.52631578947364</v>
      </c>
      <c r="AD48" s="78">
        <f>IF(D48&gt;41,IF((('DATOS REFERENCIALES'!$D$9)-((T48)-Z48+(AB48)+(AC48)))&lt;0,0,((('DATOS REFERENCIALES'!$D$9)-((T48)-(Z48)+(AB48)+(AC48))))),IF((('DATOS REFERENCIALES'!$E$9*D48)-(((T48)-Z48+(AB48)+(AC48))))&lt;0,0,('DATOS REFERENCIALES'!$E$9*D48)-((T48)-(Z48)+(AB48)+(AC48))))</f>
        <v>872.79553281894732</v>
      </c>
      <c r="AE48" s="127">
        <f t="shared" si="19"/>
        <v>3177.75</v>
      </c>
      <c r="AF48" s="90">
        <f>IF(D48&gt;30,'DATOS REFERENCIALES'!$D$13,('DATOS REFERENCIALES'!$E$13*D48))</f>
        <v>342.73333333333335</v>
      </c>
      <c r="AG48" s="646"/>
      <c r="AH48" s="649"/>
      <c r="AI48" s="651">
        <f>IF(D48&gt;'DATOS REFERENCIALES'!$J$16,'DATOS REFERENCIALES'!$D$16,'DATOS REFERENCIALES'!$E$16*D48)</f>
        <v>150</v>
      </c>
      <c r="AJ48" s="78">
        <f>IF(D48&gt;'DATOS REFERENCIALES'!$J$12,'DATOS REFERENCIALES'!$D$12,'DATOS REFERENCIALES'!$E$12*D48)</f>
        <v>446.6</v>
      </c>
      <c r="AK48" s="78">
        <f t="shared" ref="AK48:AK50" si="22">+AE48+AF48+AI48+AJ48</f>
        <v>4117.0833333333339</v>
      </c>
      <c r="AL48" s="17"/>
      <c r="AM48" s="17"/>
      <c r="AQ48" s="8"/>
    </row>
    <row r="49" spans="1:43" s="1" customFormat="1" ht="21.75" customHeight="1" x14ac:dyDescent="0.25">
      <c r="A49" s="73">
        <v>1599</v>
      </c>
      <c r="B49" s="99" t="s">
        <v>98</v>
      </c>
      <c r="C49" s="34">
        <v>0</v>
      </c>
      <c r="D49" s="36">
        <v>1</v>
      </c>
      <c r="E49" s="34"/>
      <c r="F49" s="34"/>
      <c r="G49" s="51">
        <v>56</v>
      </c>
      <c r="H49" s="34">
        <f t="shared" si="11"/>
        <v>56</v>
      </c>
      <c r="I49" s="34"/>
      <c r="J49" s="34"/>
      <c r="K49" s="213">
        <f>(H49*'DATOS REFERENCIALES'!$C$4)*D49</f>
        <v>1063.57944</v>
      </c>
      <c r="L49" s="213"/>
      <c r="M49" s="213"/>
      <c r="N49" s="151">
        <f>LOOKUP(C49,'TABLA ANTIG.'!$A$4:$A$39,'TABLA ANTIG.'!$B$4:$B$39)*(K49)</f>
        <v>0</v>
      </c>
      <c r="O49" s="149">
        <f t="shared" si="12"/>
        <v>106.357944</v>
      </c>
      <c r="P49" s="652">
        <f>IF(D49&gt;38,'DATOS REFERENCIALES'!$D$8,'DATOS REFERENCIALES'!$E$8*D49)</f>
        <v>701.21052631578948</v>
      </c>
      <c r="Q49" s="151">
        <f>LOOKUP(C49,'TABLA ANTIG.'!$A$4:$A$39,'TABLA ANTIG.'!$B$4:$B$39)*(P49)</f>
        <v>0</v>
      </c>
      <c r="R49" s="496">
        <v>0</v>
      </c>
      <c r="S49" s="499">
        <f>IF(C49&gt;11,IF(H49&gt;1134,'DATOS REFERENCIALES'!$C$18,'DATOS REFERENCIALES'!$C$18/20*D49),0)</f>
        <v>0</v>
      </c>
      <c r="T49" s="155">
        <f t="shared" si="20"/>
        <v>1871.1479103157894</v>
      </c>
      <c r="U49" s="151">
        <f t="shared" si="13"/>
        <v>205.82627013473683</v>
      </c>
      <c r="V49" s="151">
        <f t="shared" si="14"/>
        <v>56.134437309473682</v>
      </c>
      <c r="W49" s="151">
        <f t="shared" si="14"/>
        <v>56.134437309473682</v>
      </c>
      <c r="X49" s="151">
        <f t="shared" si="15"/>
        <v>37.422958206315791</v>
      </c>
      <c r="Y49" s="153">
        <f t="shared" si="16"/>
        <v>84.201655964210516</v>
      </c>
      <c r="Z49" s="149">
        <f t="shared" si="17"/>
        <v>439.71975892421051</v>
      </c>
      <c r="AA49" s="150">
        <f t="shared" si="18"/>
        <v>1431.4281513915789</v>
      </c>
      <c r="AB49" s="496">
        <f>IF(D49&gt;38,'DATOS REFERENCIALES'!$D$10,'DATOS REFERENCIALES'!$E$10*D49)</f>
        <v>0</v>
      </c>
      <c r="AC49" s="673">
        <f>IF(C49&lt;12,IF(D49&gt;'DATOS REFERENCIALES'!$J$17,'DATOS REFERENCIALES'!$D$17,('DATOS REFERENCIALES'!$E$17*D49)),0)</f>
        <v>873.52631578947364</v>
      </c>
      <c r="AD49" s="78">
        <f>IF(D49&gt;41,IF((('DATOS REFERENCIALES'!$D$9)-((T49)-Z49+(AB49)+(AC49)))&lt;0,0,((('DATOS REFERENCIALES'!$D$9)-((T49)-(Z49)+(AB49)+(AC49))))),IF((('DATOS REFERENCIALES'!$E$9*D49)-(((T49)-Z49+(AB49)+(AC49))))&lt;0,0,('DATOS REFERENCIALES'!$E$9*D49)-((T49)-(Z49)+(AB49)+(AC49))))</f>
        <v>872.79553281894732</v>
      </c>
      <c r="AE49" s="150">
        <f t="shared" si="19"/>
        <v>3177.75</v>
      </c>
      <c r="AF49" s="90">
        <f>IF(D49&gt;30,'DATOS REFERENCIALES'!$D$13,('DATOS REFERENCIALES'!$E$13*D49))</f>
        <v>342.73333333333335</v>
      </c>
      <c r="AG49" s="646"/>
      <c r="AH49" s="649"/>
      <c r="AI49" s="651">
        <f>IF(D49&gt;'DATOS REFERENCIALES'!$J$16,'DATOS REFERENCIALES'!$D$16,'DATOS REFERENCIALES'!$E$16*D49)</f>
        <v>150</v>
      </c>
      <c r="AJ49" s="78">
        <f>IF(D49&gt;'DATOS REFERENCIALES'!$J$12,'DATOS REFERENCIALES'!$D$12,'DATOS REFERENCIALES'!$E$12*D49)</f>
        <v>446.6</v>
      </c>
      <c r="AK49" s="78">
        <f t="shared" si="22"/>
        <v>4117.0833333333339</v>
      </c>
      <c r="AL49" s="17"/>
      <c r="AM49" s="17"/>
      <c r="AQ49" s="8"/>
    </row>
    <row r="50" spans="1:43" s="1" customFormat="1" ht="21.75" customHeight="1" thickBot="1" x14ac:dyDescent="0.3">
      <c r="A50" s="112">
        <v>1599</v>
      </c>
      <c r="B50" s="220" t="s">
        <v>99</v>
      </c>
      <c r="C50" s="50">
        <v>0</v>
      </c>
      <c r="D50" s="56">
        <v>1</v>
      </c>
      <c r="E50" s="50"/>
      <c r="F50" s="50"/>
      <c r="G50" s="57">
        <v>56</v>
      </c>
      <c r="H50" s="50">
        <f t="shared" si="11"/>
        <v>56</v>
      </c>
      <c r="I50" s="56"/>
      <c r="J50" s="56"/>
      <c r="K50" s="89">
        <f>(H50*'DATOS REFERENCIALES'!$C$4)*D50</f>
        <v>1063.57944</v>
      </c>
      <c r="L50" s="89"/>
      <c r="M50" s="89"/>
      <c r="N50" s="79">
        <f>LOOKUP(C50,'TABLA ANTIG.'!$A$4:$A$39,'TABLA ANTIG.'!$B$4:$B$39)*(K50)</f>
        <v>0</v>
      </c>
      <c r="O50" s="28">
        <f t="shared" si="12"/>
        <v>106.357944</v>
      </c>
      <c r="P50" s="653">
        <f>IF(D50&gt;38,'DATOS REFERENCIALES'!$D$8,'DATOS REFERENCIALES'!$E$8*D50)</f>
        <v>701.21052631578948</v>
      </c>
      <c r="Q50" s="79">
        <f>LOOKUP(C50,'TABLA ANTIG.'!$A$4:$A$39,'TABLA ANTIG.'!$B$4:$B$39)*(P50)</f>
        <v>0</v>
      </c>
      <c r="R50" s="147">
        <v>0</v>
      </c>
      <c r="S50" s="504">
        <f>IF(C50&gt;11,IF(H50&gt;1134,'DATOS REFERENCIALES'!$C$18,'DATOS REFERENCIALES'!$C$18/20*D50),0)</f>
        <v>0</v>
      </c>
      <c r="T50" s="197">
        <f t="shared" si="20"/>
        <v>1871.1479103157894</v>
      </c>
      <c r="U50" s="79">
        <f t="shared" si="13"/>
        <v>205.82627013473683</v>
      </c>
      <c r="V50" s="79">
        <f t="shared" si="14"/>
        <v>56.134437309473682</v>
      </c>
      <c r="W50" s="79">
        <f t="shared" si="14"/>
        <v>56.134437309473682</v>
      </c>
      <c r="X50" s="79">
        <f t="shared" si="15"/>
        <v>37.422958206315791</v>
      </c>
      <c r="Y50" s="154">
        <f t="shared" si="16"/>
        <v>84.201655964210516</v>
      </c>
      <c r="Z50" s="28">
        <f t="shared" si="17"/>
        <v>439.71975892421051</v>
      </c>
      <c r="AA50" s="79">
        <f t="shared" si="18"/>
        <v>1431.4281513915789</v>
      </c>
      <c r="AB50" s="147">
        <f>IF(D50&gt;38,'DATOS REFERENCIALES'!$D$10,'DATOS REFERENCIALES'!$E$10*D50)</f>
        <v>0</v>
      </c>
      <c r="AC50" s="585">
        <f>IF(C50&lt;12,IF(D50&gt;'DATOS REFERENCIALES'!$J$17,'DATOS REFERENCIALES'!$D$17,('DATOS REFERENCIALES'!$E$17*D50)),0)</f>
        <v>873.52631578947364</v>
      </c>
      <c r="AD50" s="79">
        <f>IF(D50&gt;41,IF((('DATOS REFERENCIALES'!$D$9)-((T50)-Z50+(AB50)+(AC50)))&lt;0,0,((('DATOS REFERENCIALES'!$D$9)-((T50)-(Z50)+(AB50)+(AC50))))),IF((('DATOS REFERENCIALES'!$E$9*D50)-(((T50)-Z50+(AB50)+(AC50))))&lt;0,0,('DATOS REFERENCIALES'!$E$9*D50)-((T50)-(Z50)+(AB50)+(AC50))))</f>
        <v>872.79553281894732</v>
      </c>
      <c r="AE50" s="128">
        <f t="shared" si="19"/>
        <v>3177.75</v>
      </c>
      <c r="AF50" s="91">
        <f>IF(D50&gt;30,'DATOS REFERENCIALES'!$D$13,('DATOS REFERENCIALES'!$E$13*D50))</f>
        <v>342.73333333333335</v>
      </c>
      <c r="AG50" s="647"/>
      <c r="AH50" s="650"/>
      <c r="AI50" s="593">
        <f>IF(D50&gt;'DATOS REFERENCIALES'!$J$16,'DATOS REFERENCIALES'!$D$16,'DATOS REFERENCIALES'!$E$16*D50)</f>
        <v>150</v>
      </c>
      <c r="AJ50" s="79">
        <f>IF(D50&gt;'DATOS REFERENCIALES'!$J$12,'DATOS REFERENCIALES'!$D$12,'DATOS REFERENCIALES'!$E$12*D50)</f>
        <v>446.6</v>
      </c>
      <c r="AK50" s="79">
        <f t="shared" si="22"/>
        <v>4117.0833333333339</v>
      </c>
      <c r="AL50" s="17"/>
      <c r="AM50" s="17"/>
      <c r="AQ50" s="8"/>
    </row>
    <row r="51" spans="1:43" s="1" customFormat="1" ht="21.75" customHeight="1" thickBot="1" x14ac:dyDescent="0.3">
      <c r="A51" s="42"/>
      <c r="B51" s="95"/>
      <c r="C51" s="43"/>
      <c r="D51" s="43"/>
      <c r="E51" s="43"/>
      <c r="F51" s="43"/>
      <c r="G51" s="66"/>
      <c r="H51" s="43"/>
      <c r="I51" s="43"/>
      <c r="J51" s="43"/>
      <c r="K51" s="40"/>
      <c r="L51" s="40"/>
      <c r="M51" s="40"/>
      <c r="N51" s="41"/>
      <c r="O51" s="72"/>
      <c r="P51" s="40"/>
      <c r="Q51" s="41"/>
      <c r="R51" s="41"/>
      <c r="S51" s="41"/>
      <c r="T51" s="72"/>
      <c r="U51" s="41"/>
      <c r="V51" s="41"/>
      <c r="W51" s="41"/>
      <c r="X51" s="41"/>
      <c r="Y51" s="41"/>
      <c r="Z51" s="72"/>
      <c r="AA51" s="44"/>
      <c r="AB51" s="45"/>
      <c r="AC51" s="45"/>
      <c r="AD51" s="44"/>
      <c r="AE51" s="44"/>
      <c r="AF51" s="46"/>
      <c r="AG51" s="46"/>
      <c r="AH51" s="67"/>
      <c r="AI51" s="67"/>
      <c r="AJ51" s="67"/>
      <c r="AK51" s="44"/>
      <c r="AL51" s="17"/>
      <c r="AM51" s="17"/>
      <c r="AQ51" s="8"/>
    </row>
    <row r="52" spans="1:43" s="1" customFormat="1" ht="21" thickBot="1" x14ac:dyDescent="0.4">
      <c r="A52" s="93" t="s">
        <v>131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3" t="s">
        <v>131</v>
      </c>
      <c r="AE52" s="94"/>
      <c r="AF52" s="94"/>
      <c r="AG52" s="94"/>
      <c r="AH52" s="94"/>
      <c r="AI52" s="94"/>
      <c r="AJ52" s="94"/>
      <c r="AK52" s="94"/>
      <c r="AL52" s="17"/>
      <c r="AM52" s="17"/>
    </row>
    <row r="53" spans="1:43" s="2" customFormat="1" ht="12.75" customHeight="1" thickBot="1" x14ac:dyDescent="0.3">
      <c r="A53" s="771" t="s">
        <v>1</v>
      </c>
      <c r="B53" s="771" t="s">
        <v>0</v>
      </c>
      <c r="C53" s="732" t="s">
        <v>77</v>
      </c>
      <c r="D53" s="732" t="s">
        <v>117</v>
      </c>
      <c r="E53" s="732" t="s">
        <v>125</v>
      </c>
      <c r="F53" s="732" t="s">
        <v>111</v>
      </c>
      <c r="G53" s="732" t="s">
        <v>102</v>
      </c>
      <c r="H53" s="732" t="s">
        <v>79</v>
      </c>
      <c r="I53" s="732" t="s">
        <v>143</v>
      </c>
      <c r="J53" s="726" t="s">
        <v>142</v>
      </c>
      <c r="K53" s="726" t="s">
        <v>119</v>
      </c>
      <c r="L53" s="726" t="s">
        <v>141</v>
      </c>
      <c r="M53" s="726" t="s">
        <v>142</v>
      </c>
      <c r="N53" s="796" t="s">
        <v>85</v>
      </c>
      <c r="O53" s="734" t="s">
        <v>118</v>
      </c>
      <c r="P53" s="736" t="s">
        <v>86</v>
      </c>
      <c r="Q53" s="734" t="s">
        <v>101</v>
      </c>
      <c r="R53" s="734" t="s">
        <v>84</v>
      </c>
      <c r="S53" s="736" t="s">
        <v>198</v>
      </c>
      <c r="T53" s="734" t="s">
        <v>69</v>
      </c>
      <c r="U53" s="738" t="s">
        <v>59</v>
      </c>
      <c r="V53" s="738"/>
      <c r="W53" s="738"/>
      <c r="X53" s="738"/>
      <c r="Y53" s="738"/>
      <c r="Z53" s="732" t="s">
        <v>68</v>
      </c>
      <c r="AA53" s="732" t="s">
        <v>89</v>
      </c>
      <c r="AB53" s="732" t="s">
        <v>88</v>
      </c>
      <c r="AC53" s="736" t="s">
        <v>199</v>
      </c>
      <c r="AD53" s="732" t="s">
        <v>87</v>
      </c>
      <c r="AE53" s="732" t="s">
        <v>91</v>
      </c>
      <c r="AF53" s="732" t="s">
        <v>90</v>
      </c>
      <c r="AG53" s="732" t="s">
        <v>169</v>
      </c>
      <c r="AH53" s="732" t="s">
        <v>182</v>
      </c>
      <c r="AI53" s="736" t="s">
        <v>197</v>
      </c>
      <c r="AJ53" s="736" t="s">
        <v>195</v>
      </c>
      <c r="AK53" s="732" t="s">
        <v>92</v>
      </c>
      <c r="AL53" s="17"/>
      <c r="AM53" s="17"/>
    </row>
    <row r="54" spans="1:43" s="2" customFormat="1" ht="87.75" customHeight="1" thickBot="1" x14ac:dyDescent="0.3">
      <c r="A54" s="800"/>
      <c r="B54" s="800"/>
      <c r="C54" s="756"/>
      <c r="D54" s="756"/>
      <c r="E54" s="756"/>
      <c r="F54" s="756"/>
      <c r="G54" s="756"/>
      <c r="H54" s="756"/>
      <c r="I54" s="756"/>
      <c r="J54" s="801"/>
      <c r="K54" s="801"/>
      <c r="L54" s="801"/>
      <c r="M54" s="801"/>
      <c r="N54" s="802"/>
      <c r="O54" s="774"/>
      <c r="P54" s="758"/>
      <c r="Q54" s="774"/>
      <c r="R54" s="774"/>
      <c r="S54" s="758"/>
      <c r="T54" s="774"/>
      <c r="U54" s="96" t="s">
        <v>138</v>
      </c>
      <c r="V54" s="96" t="s">
        <v>61</v>
      </c>
      <c r="W54" s="96" t="s">
        <v>62</v>
      </c>
      <c r="X54" s="96" t="s">
        <v>63</v>
      </c>
      <c r="Y54" s="96" t="s">
        <v>64</v>
      </c>
      <c r="Z54" s="756"/>
      <c r="AA54" s="756"/>
      <c r="AB54" s="756"/>
      <c r="AC54" s="758"/>
      <c r="AD54" s="756"/>
      <c r="AE54" s="756"/>
      <c r="AF54" s="756"/>
      <c r="AG54" s="756"/>
      <c r="AH54" s="756"/>
      <c r="AI54" s="758"/>
      <c r="AJ54" s="758"/>
      <c r="AK54" s="756"/>
      <c r="AL54" s="17"/>
      <c r="AM54" s="17"/>
    </row>
    <row r="55" spans="1:43" s="1" customFormat="1" ht="24.75" customHeight="1" x14ac:dyDescent="0.25">
      <c r="A55" s="459">
        <v>5080</v>
      </c>
      <c r="B55" s="460" t="s">
        <v>23</v>
      </c>
      <c r="C55" s="305">
        <v>0</v>
      </c>
      <c r="D55" s="449"/>
      <c r="E55" s="449"/>
      <c r="F55" s="449"/>
      <c r="G55" s="374">
        <v>3128</v>
      </c>
      <c r="H55" s="305">
        <f t="shared" ref="H55:H62" si="23">SUM(G55:G55)</f>
        <v>3128</v>
      </c>
      <c r="I55" s="521"/>
      <c r="J55" s="305"/>
      <c r="K55" s="310">
        <f>H55*'DATOS REFERENCIALES'!$C$4</f>
        <v>59408.508719999998</v>
      </c>
      <c r="L55" s="310"/>
      <c r="M55" s="310"/>
      <c r="N55" s="312">
        <f>LOOKUP(C55,'TABLA ANTIG.'!$A$4:$A$39,'TABLA ANTIG.'!$B$4:$B$39)*(K55)</f>
        <v>0</v>
      </c>
      <c r="O55" s="312">
        <f t="shared" ref="O55:O62" si="24">K55*0.1</f>
        <v>5940.850872</v>
      </c>
      <c r="P55" s="310">
        <f>IF(H55&gt;2069,'DATOS REFERENCIALES'!$D$8,IF(('DATOS REFERENCIALES'!$D$8/2070*H55)&lt;'DATOS REFERENCIALES'!$G$8,'DATOS REFERENCIALES'!$G$8))</f>
        <v>26646</v>
      </c>
      <c r="Q55" s="312">
        <f>LOOKUP(C55,'TABLA ANTIG.'!$A$4:$A$39,'TABLA ANTIG.'!$B$4:$B$39)*(P55)</f>
        <v>0</v>
      </c>
      <c r="R55" s="312">
        <v>0</v>
      </c>
      <c r="S55" s="312">
        <f>IF(C55&gt;11,IF(H55&gt;1134,'DATOS REFERENCIALES'!$C$18,'DATOS REFERENCIALES'!$C$18/1135*H55),0)</f>
        <v>0</v>
      </c>
      <c r="T55" s="312">
        <f>K55+N55+O55+P55+Q55+R55+S55</f>
        <v>91995.359591999993</v>
      </c>
      <c r="U55" s="312">
        <f t="shared" ref="U55:U62" si="25">$T55*11%</f>
        <v>10119.489555119999</v>
      </c>
      <c r="V55" s="312">
        <f t="shared" ref="V55:W62" si="26">$T55*3%</f>
        <v>2759.8607877599998</v>
      </c>
      <c r="W55" s="312">
        <f t="shared" si="26"/>
        <v>2759.8607877599998</v>
      </c>
      <c r="X55" s="312">
        <f t="shared" ref="X55:X62" si="27">$T55*2%</f>
        <v>1839.90719184</v>
      </c>
      <c r="Y55" s="312">
        <f t="shared" ref="Y55:Y62" si="28">$T55*4.5%</f>
        <v>4139.7911816399992</v>
      </c>
      <c r="Z55" s="312">
        <f t="shared" ref="Z55:Z62" si="29">SUM(U55:Y55)</f>
        <v>21618.909504119998</v>
      </c>
      <c r="AA55" s="312">
        <f t="shared" ref="AA55:AA62" si="30">T55-Z55</f>
        <v>70376.450087879988</v>
      </c>
      <c r="AB55" s="461">
        <f>'DATOS REFERENCIALES'!$D$10</f>
        <v>0</v>
      </c>
      <c r="AC55" s="312">
        <f>IF(C55&lt;12,IF(H55&gt;2069,'DATOS REFERENCIALES'!$D$17,'DATOS REFERENCIALES'!$D$17/2070*H55),0)</f>
        <v>33194</v>
      </c>
      <c r="AD55" s="312">
        <f>IF((IF(H55&gt;2069,('DATOS REFERENCIALES'!$D$9-(T55-U55-V55-W55-X55-Y55+AB55+AC55)),(('DATOS REFERENCIALES'!$D$9/2070)*H55)-(K55+N55+O55+P55+Q55+S55-U55-V55-W55-X55-Y55+AB55+AC55)))&lt;0,0,IF(H55&gt;2069,(('DATOS REFERENCIALES'!$D$9)-(T55-U55-V55-W55-X55-Y55+AB55+AC55)),(('DATOS REFERENCIALES'!$D$9/2070)*H55)-(K55+N55+O55+P55+Q55+S55-U55-V55-W55-X55-Y55+AB55+AC55)))</f>
        <v>23539.549912120012</v>
      </c>
      <c r="AE55" s="316">
        <f t="shared" ref="AE55:AE62" si="31">SUM(AA55:AD55)</f>
        <v>127110</v>
      </c>
      <c r="AF55" s="317">
        <f>'DATOS REFERENCIALES'!$D$13</f>
        <v>10282</v>
      </c>
      <c r="AG55" s="338"/>
      <c r="AH55" s="316"/>
      <c r="AI55" s="317">
        <f>'DATOS REFERENCIALES'!$D$16</f>
        <v>4500</v>
      </c>
      <c r="AJ55" s="315">
        <f>'DATOS REFERENCIALES'!$D$12</f>
        <v>13398</v>
      </c>
      <c r="AK55" s="763">
        <f>+AE55+AE56+AF55+AI55+AJ55</f>
        <v>159789.3034079092</v>
      </c>
      <c r="AL55" s="17"/>
      <c r="AM55" s="17"/>
      <c r="AQ55" s="8"/>
    </row>
    <row r="56" spans="1:43" s="1" customFormat="1" ht="25.5" customHeight="1" thickBot="1" x14ac:dyDescent="0.3">
      <c r="A56" s="462">
        <v>5080</v>
      </c>
      <c r="B56" s="463" t="s">
        <v>23</v>
      </c>
      <c r="C56" s="320">
        <f>IF(C55&gt;0,C55,0)</f>
        <v>0</v>
      </c>
      <c r="D56" s="464"/>
      <c r="E56" s="464"/>
      <c r="F56" s="464"/>
      <c r="G56" s="465"/>
      <c r="H56" s="574"/>
      <c r="I56" s="522">
        <f>234.6/'DATOS REFERENCIALES'!$J$4*'DATOS REFERENCIALES'!$K$4</f>
        <v>281.52</v>
      </c>
      <c r="J56" s="606"/>
      <c r="K56" s="325"/>
      <c r="L56" s="325">
        <f>I56*'DATOS REFERENCIALES'!$C$4</f>
        <v>5346.7657847999999</v>
      </c>
      <c r="M56" s="325">
        <f>IF(J56='DATOS REFERENCIALES'!$C$31,K55*'DATOS REFERENCIALES'!$D$31,IF(J56='DATOS REFERENCIALES'!$C$32,('DATOS REFERENCIALES'!$D$32*K55),IF(J56='DATOS REFERENCIALES'!$C$33,('DATOS REFERENCIALES'!$D$33*K55),IF(J56='DATOS REFERENCIALES'!$C$34,('DATOS REFERENCIALES'!$D$34*K55),IF(J56='DATOS REFERENCIALES'!$C$35,('DATOS REFERENCIALES'!$D$35*K55),IF(J56='DATOS REFERENCIALES'!$C$36,('DATOS REFERENCIALES'!$D$36*K55),IF(J56='DATOS REFERENCIALES'!$C$37,('DATOS REFERENCIALES'!$D$37*K55),IF(J56='DATOS REFERENCIALES'!$C$38,('DATOS REFERENCIALES'!$D$38*K55),0))))))))</f>
        <v>0</v>
      </c>
      <c r="N56" s="327">
        <f>LOOKUP(C56,'TABLA ANTIG.'!$A$4:$A$39,'TABLA ANTIG.'!$B$4:$B$39)*(L56+M56)</f>
        <v>0</v>
      </c>
      <c r="O56" s="327">
        <f>(L56+M56)*0.1</f>
        <v>534.67657847999999</v>
      </c>
      <c r="P56" s="325"/>
      <c r="Q56" s="327"/>
      <c r="R56" s="326"/>
      <c r="S56" s="327"/>
      <c r="T56" s="327">
        <f>L56+M56+N56+O56+P56+Q56+R56</f>
        <v>5881.4423632799999</v>
      </c>
      <c r="U56" s="330">
        <f t="shared" si="25"/>
        <v>646.95865996079999</v>
      </c>
      <c r="V56" s="327">
        <f t="shared" si="26"/>
        <v>176.44327089839999</v>
      </c>
      <c r="W56" s="330">
        <f t="shared" si="26"/>
        <v>176.44327089839999</v>
      </c>
      <c r="X56" s="327">
        <f>$T56*2%</f>
        <v>117.6288472656</v>
      </c>
      <c r="Y56" s="327">
        <f t="shared" si="28"/>
        <v>264.66490634759998</v>
      </c>
      <c r="Z56" s="327">
        <f t="shared" si="29"/>
        <v>1382.1389553708</v>
      </c>
      <c r="AA56" s="331">
        <f t="shared" si="30"/>
        <v>4499.3034079091994</v>
      </c>
      <c r="AB56" s="327"/>
      <c r="AC56" s="330"/>
      <c r="AD56" s="327"/>
      <c r="AE56" s="326">
        <f t="shared" si="31"/>
        <v>4499.3034079091994</v>
      </c>
      <c r="AF56" s="332"/>
      <c r="AG56" s="344"/>
      <c r="AH56" s="326"/>
      <c r="AI56" s="326"/>
      <c r="AJ56" s="327"/>
      <c r="AK56" s="764"/>
      <c r="AL56" s="17"/>
      <c r="AM56" s="17"/>
      <c r="AQ56" s="8"/>
    </row>
    <row r="57" spans="1:43" s="1" customFormat="1" ht="33.75" customHeight="1" x14ac:dyDescent="0.25">
      <c r="A57" s="245">
        <v>5081</v>
      </c>
      <c r="B57" s="467" t="s">
        <v>67</v>
      </c>
      <c r="C57" s="245">
        <v>0</v>
      </c>
      <c r="D57" s="468"/>
      <c r="E57" s="468"/>
      <c r="F57" s="468"/>
      <c r="G57" s="246">
        <v>2669</v>
      </c>
      <c r="H57" s="245">
        <f t="shared" si="23"/>
        <v>2669</v>
      </c>
      <c r="I57" s="523"/>
      <c r="J57" s="245"/>
      <c r="K57" s="247">
        <f>H57*'DATOS REFERENCIALES'!$C$4</f>
        <v>50690.955809999999</v>
      </c>
      <c r="L57" s="247"/>
      <c r="M57" s="247"/>
      <c r="N57" s="249">
        <f>LOOKUP(C57,'TABLA ANTIG.'!$A$4:$A$39,'TABLA ANTIG.'!$B$4:$B$39)*(K57)</f>
        <v>0</v>
      </c>
      <c r="O57" s="249">
        <f t="shared" si="24"/>
        <v>5069.0955810000005</v>
      </c>
      <c r="P57" s="247">
        <f>'DATOS REFERENCIALES'!$D$8</f>
        <v>26646</v>
      </c>
      <c r="Q57" s="249">
        <f>LOOKUP(C57,'TABLA ANTIG.'!$A$4:$A$39,'TABLA ANTIG.'!$B$4:$B$39)*(P57)</f>
        <v>0</v>
      </c>
      <c r="R57" s="249">
        <v>0</v>
      </c>
      <c r="S57" s="249">
        <f>IF(C57&gt;11,IF(H57&gt;1134,'DATOS REFERENCIALES'!$C$18,'DATOS REFERENCIALES'!$C$18/1135*H57),0)</f>
        <v>0</v>
      </c>
      <c r="T57" s="249">
        <f>K57+N57+O57+P57+Q57+R57+S57</f>
        <v>82406.051391000001</v>
      </c>
      <c r="U57" s="249">
        <f t="shared" si="25"/>
        <v>9064.6656530100008</v>
      </c>
      <c r="V57" s="249">
        <f t="shared" si="26"/>
        <v>2472.1815417299999</v>
      </c>
      <c r="W57" s="249">
        <f t="shared" si="26"/>
        <v>2472.1815417299999</v>
      </c>
      <c r="X57" s="249">
        <f t="shared" si="27"/>
        <v>1648.1210278200001</v>
      </c>
      <c r="Y57" s="249">
        <f t="shared" si="28"/>
        <v>3708.2723125949997</v>
      </c>
      <c r="Z57" s="249">
        <f t="shared" si="29"/>
        <v>19365.422076884999</v>
      </c>
      <c r="AA57" s="249">
        <f t="shared" si="30"/>
        <v>63040.629314115002</v>
      </c>
      <c r="AB57" s="469">
        <f>'DATOS REFERENCIALES'!$D$10</f>
        <v>0</v>
      </c>
      <c r="AC57" s="252">
        <f>IF(C57&lt;12,IF(H57&gt;1134,'DATOS REFERENCIALES'!$C$17,'DATOS REFERENCIALES'!$C$17/1135*H57),0)</f>
        <v>16597</v>
      </c>
      <c r="AD57" s="249">
        <f>IF((IF(H57&gt;1134,('DATOS REFERENCIALES'!$C$9-(T57-U57-V57-W57-X57-Y57+AB57+AC57-L57-L57*0.235)),(('DATOS REFERENCIALES'!$C$9/1135)*H57)-(K57+N57+O57+P57+Q57+S57-U57-V57-W57-X57-Y57+AB57+AC57-(L57-L57*0.235))))&lt;0,0,IF(H57&gt;1134,(('DATOS REFERENCIALES'!$C$9)-(T57-U57-V57-W57-X57-Y57+AB57+AC57-(L57-L57*0.235))),(('DATOS REFERENCIALES'!$C$9/1135)*H57)-(K57+N57+O57+P57+Q57+S57-U57-V57-W57-X57-Y57+AB57+AC57-(L57-L57*0.235))))</f>
        <v>0</v>
      </c>
      <c r="AE57" s="251">
        <f t="shared" si="31"/>
        <v>79637.629314115009</v>
      </c>
      <c r="AF57" s="254">
        <f>'DATOS REFERENCIALES'!$C$13</f>
        <v>5141</v>
      </c>
      <c r="AG57" s="666"/>
      <c r="AH57" s="667"/>
      <c r="AI57" s="668">
        <f>'DATOS REFERENCIALES'!$C$16</f>
        <v>2250</v>
      </c>
      <c r="AJ57" s="382">
        <f>'DATOS REFERENCIALES'!$C$12</f>
        <v>6699</v>
      </c>
      <c r="AK57" s="765">
        <f>+AE57+AE58+AF57+AI57+AJ57</f>
        <v>97566.804745467365</v>
      </c>
      <c r="AL57" s="17"/>
      <c r="AM57" s="17"/>
      <c r="AQ57" s="8"/>
    </row>
    <row r="58" spans="1:43" s="1" customFormat="1" ht="33.75" customHeight="1" thickBot="1" x14ac:dyDescent="0.3">
      <c r="A58" s="296">
        <v>5081</v>
      </c>
      <c r="B58" s="470" t="s">
        <v>67</v>
      </c>
      <c r="C58" s="575">
        <f>IF(C57&gt;0,C57,0)</f>
        <v>0</v>
      </c>
      <c r="D58" s="471"/>
      <c r="E58" s="471"/>
      <c r="F58" s="471"/>
      <c r="G58" s="385"/>
      <c r="H58" s="296"/>
      <c r="I58" s="529">
        <f>200.18/'DATOS REFERENCIALES'!$J$4*'DATOS REFERENCIALES'!$K$4</f>
        <v>240.21600000000004</v>
      </c>
      <c r="J58" s="472"/>
      <c r="K58" s="300"/>
      <c r="L58" s="300">
        <f>I58*'DATOS REFERENCIALES'!$C$4</f>
        <v>4562.2999778400008</v>
      </c>
      <c r="M58" s="300">
        <f>IF(J58='DATOS REFERENCIALES'!$C$31,K57*'DATOS REFERENCIALES'!$D$31,IF(J58='DATOS REFERENCIALES'!$C$32,('DATOS REFERENCIALES'!$D$32*K57),IF(J58='DATOS REFERENCIALES'!$C$33,('DATOS REFERENCIALES'!$D$33*K57),IF(J58='DATOS REFERENCIALES'!$C$34,('DATOS REFERENCIALES'!$D$34*K57),IF(J58='DATOS REFERENCIALES'!$C$35,('DATOS REFERENCIALES'!$D$35*K57),IF(J58='DATOS REFERENCIALES'!$C$36,('DATOS REFERENCIALES'!$D$36*K57),IF(J58='DATOS REFERENCIALES'!$C$37,('DATOS REFERENCIALES'!$D$37*K57),IF(J58='DATOS REFERENCIALES'!$C$38,('DATOS REFERENCIALES'!$D$38*K57),0))))))))</f>
        <v>0</v>
      </c>
      <c r="N58" s="268">
        <f>LOOKUP(C58,'TABLA ANTIG.'!$A$4:$A$39,'TABLA ANTIG.'!$B$4:$B$39)*(L58+M58)</f>
        <v>0</v>
      </c>
      <c r="O58" s="268">
        <f>(L58+M58)*0.1</f>
        <v>456.22999778400009</v>
      </c>
      <c r="P58" s="300"/>
      <c r="Q58" s="268"/>
      <c r="R58" s="266"/>
      <c r="S58" s="301"/>
      <c r="T58" s="268">
        <f>L58+M58+N58+O58+P58+Q58+R58</f>
        <v>5018.5299756240011</v>
      </c>
      <c r="U58" s="301">
        <f t="shared" si="25"/>
        <v>552.03829731864016</v>
      </c>
      <c r="V58" s="268">
        <f t="shared" si="26"/>
        <v>150.55589926872003</v>
      </c>
      <c r="W58" s="301">
        <f t="shared" si="26"/>
        <v>150.55589926872003</v>
      </c>
      <c r="X58" s="268">
        <f>$T58*2%</f>
        <v>100.37059951248003</v>
      </c>
      <c r="Y58" s="268">
        <f t="shared" si="28"/>
        <v>225.83384890308005</v>
      </c>
      <c r="Z58" s="268">
        <f t="shared" si="29"/>
        <v>1179.3545442716404</v>
      </c>
      <c r="AA58" s="302">
        <f t="shared" si="30"/>
        <v>3839.1754313523606</v>
      </c>
      <c r="AB58" s="268"/>
      <c r="AC58" s="494"/>
      <c r="AD58" s="268"/>
      <c r="AE58" s="266">
        <f t="shared" si="31"/>
        <v>3839.1754313523606</v>
      </c>
      <c r="AF58" s="481"/>
      <c r="AG58" s="372"/>
      <c r="AH58" s="266"/>
      <c r="AI58" s="678"/>
      <c r="AJ58" s="302"/>
      <c r="AK58" s="766"/>
      <c r="AL58" s="17"/>
      <c r="AM58" s="17"/>
      <c r="AQ58" s="8"/>
    </row>
    <row r="59" spans="1:43" s="1" customFormat="1" ht="21.75" customHeight="1" x14ac:dyDescent="0.25">
      <c r="A59" s="714">
        <v>5089</v>
      </c>
      <c r="B59" s="715" t="s">
        <v>65</v>
      </c>
      <c r="C59" s="714">
        <v>0</v>
      </c>
      <c r="D59" s="714"/>
      <c r="E59" s="714"/>
      <c r="F59" s="714"/>
      <c r="G59" s="553">
        <v>1008</v>
      </c>
      <c r="H59" s="554">
        <f t="shared" si="23"/>
        <v>1008</v>
      </c>
      <c r="I59" s="716"/>
      <c r="J59" s="554"/>
      <c r="K59" s="555">
        <f>H59*'DATOS REFERENCIALES'!$C$4</f>
        <v>19144.429919999999</v>
      </c>
      <c r="L59" s="555"/>
      <c r="M59" s="555"/>
      <c r="N59" s="77">
        <f>LOOKUP(C59,'TABLA ANTIG.'!$A$4:$A$39,'TABLA ANTIG.'!$B$4:$B$39)*(K59)</f>
        <v>0</v>
      </c>
      <c r="O59" s="495">
        <f t="shared" si="24"/>
        <v>1914.442992</v>
      </c>
      <c r="P59" s="562">
        <f>IF(H59&gt;1134,'DATOS REFERENCIALES'!$C$8,IF(('DATOS REFERENCIALES'!$C$8/1135*H59)&lt;'DATOS REFERENCIALES'!$F$8,'DATOS REFERENCIALES'!$F$8))</f>
        <v>12239</v>
      </c>
      <c r="Q59" s="77">
        <f>LOOKUP(C59,'TABLA ANTIG.'!$A$4:$A$39,'TABLA ANTIG.'!$B$4:$B$39)*(P59)</f>
        <v>0</v>
      </c>
      <c r="R59" s="507">
        <v>0</v>
      </c>
      <c r="S59" s="497">
        <f>IF(C59&gt;11,IF(H59&gt;1134,'DATOS REFERENCIALES'!$C$18,IF(('DATOS REFERENCIALES'!$C$18/1135*H59)&lt;'DATOS REFERENCIALES'!$F$18,'DATOS REFERENCIALES'!$F$18,'DATOS REFERENCIALES'!$C$18/1135*H59)),0)</f>
        <v>0</v>
      </c>
      <c r="T59" s="503">
        <f>K59+N59+O59+P59+Q59+R59+S59</f>
        <v>33297.872911999999</v>
      </c>
      <c r="U59" s="77">
        <f t="shared" si="25"/>
        <v>3662.7660203199998</v>
      </c>
      <c r="V59" s="77">
        <f t="shared" si="26"/>
        <v>998.93618735999996</v>
      </c>
      <c r="W59" s="77">
        <f t="shared" si="26"/>
        <v>998.93618735999996</v>
      </c>
      <c r="X59" s="77">
        <f t="shared" si="27"/>
        <v>665.95745823999994</v>
      </c>
      <c r="Y59" s="77">
        <f t="shared" si="28"/>
        <v>1498.4042810399999</v>
      </c>
      <c r="Z59" s="495">
        <f t="shared" si="29"/>
        <v>7825.0001343199992</v>
      </c>
      <c r="AA59" s="77">
        <f t="shared" si="30"/>
        <v>25472.872777680001</v>
      </c>
      <c r="AB59" s="507">
        <f>'DATOS REFERENCIALES'!$C$10</f>
        <v>0</v>
      </c>
      <c r="AC59" s="77">
        <f>IF(C59&lt;12,IF(H59&gt;1134,'DATOS REFERENCIALES'!$C$17,IF(('DATOS REFERENCIALES'!$C$17/1135*H59)&lt;'DATOS REFERENCIALES'!$F$17,'DATOS REFERENCIALES'!$F$17,('DATOS REFERENCIALES'!$C$17/1135*H59))),0)</f>
        <v>15925</v>
      </c>
      <c r="AD59" s="77">
        <f>IF((IF(H59&gt;1134,('DATOS REFERENCIALES'!$C$9-(T59-U59-V59-W59-X59-Y59+AB59+AC59-L59-L59*0.235)),(('DATOS REFERENCIALES'!$C$9/1135)*H59)-(K59+N59+O59+P59+Q59+S59-U59-V59-W59-X59-Y59+AB59+AC59-(L59-L59*0.235))))&lt;0,0,IF(H59&gt;1134,(('DATOS REFERENCIALES'!$C$9)-(T59-U59-V59-W59-X59-Y59+AB59+AC59-(L59-L59*0.235))),(('DATOS REFERENCIALES'!$C$9/1135)*H59)-(K59+N59+O59+P59+Q59+S59-U59-V59-W59-X59-Y59+AB59+AC59-(L59-L59*0.235))))</f>
        <v>15045.686693685631</v>
      </c>
      <c r="AE59" s="549">
        <f t="shared" si="31"/>
        <v>56443.559471365632</v>
      </c>
      <c r="AF59" s="509">
        <f>'DATOS REFERENCIALES'!$C$13</f>
        <v>5141</v>
      </c>
      <c r="AG59" s="645"/>
      <c r="AH59" s="648"/>
      <c r="AI59" s="509">
        <f>'DATOS REFERENCIALES'!$C$16</f>
        <v>2250</v>
      </c>
      <c r="AJ59" s="77">
        <f>'DATOS REFERENCIALES'!$C$12</f>
        <v>6699</v>
      </c>
      <c r="AK59" s="77">
        <f>+AE59+AF59+AI59+AJ59</f>
        <v>70533.559471365632</v>
      </c>
      <c r="AL59" s="17"/>
      <c r="AM59" s="17"/>
      <c r="AQ59" s="8"/>
    </row>
    <row r="60" spans="1:43" s="711" customFormat="1" ht="21.75" customHeight="1" x14ac:dyDescent="0.25">
      <c r="A60" s="58">
        <v>5088</v>
      </c>
      <c r="B60" s="106" t="s">
        <v>66</v>
      </c>
      <c r="C60" s="58">
        <v>0</v>
      </c>
      <c r="D60" s="58"/>
      <c r="E60" s="58"/>
      <c r="F60" s="58"/>
      <c r="G60" s="51">
        <v>823</v>
      </c>
      <c r="H60" s="34">
        <f t="shared" si="23"/>
        <v>823</v>
      </c>
      <c r="I60" s="87"/>
      <c r="J60" s="34"/>
      <c r="K60" s="113">
        <f>H60*'DATOS REFERENCIALES'!$C$4</f>
        <v>15630.81927</v>
      </c>
      <c r="L60" s="113"/>
      <c r="M60" s="113"/>
      <c r="N60" s="78">
        <f>LOOKUP(C60,'TABLA ANTIG.'!$A$4:$A$39,'TABLA ANTIG.'!$B$4:$B$39)*(K60)</f>
        <v>0</v>
      </c>
      <c r="O60" s="78">
        <f t="shared" si="24"/>
        <v>1563.0819270000002</v>
      </c>
      <c r="P60" s="562">
        <f>IF(H60&gt;1134,'DATOS REFERENCIALES'!$C$8,IF(('DATOS REFERENCIALES'!$C$8/1135*H60)&lt;'DATOS REFERENCIALES'!$F$8,'DATOS REFERENCIALES'!$F$8))</f>
        <v>12239</v>
      </c>
      <c r="Q60" s="78">
        <f>LOOKUP(C60,'TABLA ANTIG.'!$A$4:$A$39,'TABLA ANTIG.'!$B$4:$B$39)*(P60)</f>
        <v>0</v>
      </c>
      <c r="R60" s="144">
        <v>0</v>
      </c>
      <c r="S60" s="78">
        <f>IF(C60&gt;11,IF(H60&gt;1134,'DATOS REFERENCIALES'!$C$18,IF(('DATOS REFERENCIALES'!$C$18/1135*H60)&lt;'DATOS REFERENCIALES'!$F$18,'DATOS REFERENCIALES'!$F$18,'DATOS REFERENCIALES'!$C$18/1135*H60)),0)</f>
        <v>0</v>
      </c>
      <c r="T60" s="127">
        <f>K60+N60+O60+P60+Q60+R60+S60</f>
        <v>29432.901196999999</v>
      </c>
      <c r="U60" s="78">
        <f t="shared" si="25"/>
        <v>3237.6191316700001</v>
      </c>
      <c r="V60" s="78">
        <f t="shared" si="26"/>
        <v>882.98703590999992</v>
      </c>
      <c r="W60" s="78">
        <f t="shared" si="26"/>
        <v>882.98703590999992</v>
      </c>
      <c r="X60" s="78">
        <f t="shared" si="27"/>
        <v>588.65802394000002</v>
      </c>
      <c r="Y60" s="78">
        <f t="shared" si="28"/>
        <v>1324.4805538649998</v>
      </c>
      <c r="Z60" s="78">
        <f t="shared" si="29"/>
        <v>6916.7317812949996</v>
      </c>
      <c r="AA60" s="78">
        <f t="shared" si="30"/>
        <v>22516.169415705001</v>
      </c>
      <c r="AB60" s="144">
        <f>'DATOS REFERENCIALES'!$C$10</f>
        <v>0</v>
      </c>
      <c r="AC60" s="78">
        <f>IF(C60&lt;12,IF(H60&gt;1134,'DATOS REFERENCIALES'!$C$17,IF(('DATOS REFERENCIALES'!$C$17/1135*H60)&lt;'DATOS REFERENCIALES'!$F$17,'DATOS REFERENCIALES'!$F$17,('DATOS REFERENCIALES'!$C$17/1135*H60))),0)</f>
        <v>15925</v>
      </c>
      <c r="AD60" s="78">
        <f>IF((IF(H60&gt;1134,('DATOS REFERENCIALES'!$C$9-(T60-U60-V60-W60-X60-Y60+AB60+AC60-L60-L60*0.235)),(('DATOS REFERENCIALES'!$C$9/1135)*H60)-(K60+N60+O60+P60+Q60+S60-U60-V60-W60-X60-Y60+AB60+AC60-(L60-L60*0.235))))&lt;0,0,IF(H60&gt;1134,(('DATOS REFERENCIALES'!$C$9)-(T60-U60-V60-W60-X60-Y60+AB60+AC60-(L60-L60*0.235))),(('DATOS REFERENCIALES'!$C$9/1135)*H60)-(K60+N60+O60+P60+Q60+S60-U60-V60-W60-X60-Y60+AB60+AC60-(L60-L60*0.235))))</f>
        <v>7643.2050336341999</v>
      </c>
      <c r="AE60" s="127">
        <f t="shared" si="31"/>
        <v>46084.374449339201</v>
      </c>
      <c r="AF60" s="482">
        <f>'DATOS REFERENCIALES'!$C$13</f>
        <v>5141</v>
      </c>
      <c r="AG60" s="646"/>
      <c r="AH60" s="649"/>
      <c r="AI60" s="482">
        <f>'DATOS REFERENCIALES'!$C$16</f>
        <v>2250</v>
      </c>
      <c r="AJ60" s="78">
        <f>'DATOS REFERENCIALES'!$C$12</f>
        <v>6699</v>
      </c>
      <c r="AK60" s="78">
        <f t="shared" ref="AK60:AK62" si="32">+AE60+AF60+AI60+AJ60</f>
        <v>60174.374449339201</v>
      </c>
      <c r="AL60" s="710"/>
      <c r="AM60" s="710"/>
      <c r="AQ60" s="712"/>
    </row>
    <row r="61" spans="1:43" s="711" customFormat="1" ht="21.6" customHeight="1" x14ac:dyDescent="0.25">
      <c r="A61" s="58">
        <v>1549</v>
      </c>
      <c r="B61" s="160" t="s">
        <v>56</v>
      </c>
      <c r="C61" s="58">
        <v>0</v>
      </c>
      <c r="D61" s="58">
        <v>18</v>
      </c>
      <c r="E61" s="58"/>
      <c r="F61" s="58"/>
      <c r="G61" s="51">
        <v>1008</v>
      </c>
      <c r="H61" s="34">
        <f t="shared" si="23"/>
        <v>1008</v>
      </c>
      <c r="I61" s="34"/>
      <c r="J61" s="34"/>
      <c r="K61" s="113">
        <f>H61*'DATOS REFERENCIALES'!$C$4</f>
        <v>19144.429919999999</v>
      </c>
      <c r="L61" s="113"/>
      <c r="M61" s="113"/>
      <c r="N61" s="78">
        <f>LOOKUP(C61,'TABLA ANTIG.'!$A$4:$A$39,'TABLA ANTIG.'!$B$4:$B$39)*(K61)</f>
        <v>0</v>
      </c>
      <c r="O61" s="78">
        <f t="shared" si="24"/>
        <v>1914.442992</v>
      </c>
      <c r="P61" s="713">
        <f>IF(D61&gt;38,'DATOS REFERENCIALES'!$D$8,'DATOS REFERENCIALES'!$E$8*D61)</f>
        <v>12621.78947368421</v>
      </c>
      <c r="Q61" s="78">
        <f>LOOKUP(C61,'TABLA ANTIG.'!$A$4:$A$39,'TABLA ANTIG.'!$B$4:$B$39)*(P61)</f>
        <v>0</v>
      </c>
      <c r="R61" s="144">
        <v>0</v>
      </c>
      <c r="S61" s="78">
        <f>IF(C61&gt;11,IF(H61&gt;1134,'DATOS REFERENCIALES'!$C$18,'DATOS REFERENCIALES'!$C$18/20*D61),0)</f>
        <v>0</v>
      </c>
      <c r="T61" s="127">
        <f>K61+N61+O61+P61+Q61+R61+S61</f>
        <v>33680.662385684205</v>
      </c>
      <c r="U61" s="78">
        <f t="shared" si="25"/>
        <v>3704.8728624252626</v>
      </c>
      <c r="V61" s="78">
        <f t="shared" si="26"/>
        <v>1010.4198715705261</v>
      </c>
      <c r="W61" s="78">
        <f t="shared" si="26"/>
        <v>1010.4198715705261</v>
      </c>
      <c r="X61" s="78">
        <f t="shared" si="27"/>
        <v>673.61324771368413</v>
      </c>
      <c r="Y61" s="78">
        <f t="shared" si="28"/>
        <v>1515.6298073557891</v>
      </c>
      <c r="Z61" s="78">
        <f t="shared" si="29"/>
        <v>7914.9556606357883</v>
      </c>
      <c r="AA61" s="78">
        <f t="shared" si="30"/>
        <v>25765.706725048418</v>
      </c>
      <c r="AB61" s="164">
        <f>'DATOS REFERENCIALES'!$E$10*18</f>
        <v>0</v>
      </c>
      <c r="AC61" s="687">
        <f>IF(C61&lt;12,IF(D61&gt;'DATOS REFERENCIALES'!$J$17,'DATOS REFERENCIALES'!$D$17,('DATOS REFERENCIALES'!$E$17*D61)),0)</f>
        <v>15723.473684210525</v>
      </c>
      <c r="AD61" s="78">
        <f>IF(D61&gt;41,IF((('DATOS REFERENCIALES'!$D$9)-((T61)-Z61+(AB61)+(AC61)))&lt;0,0,((('DATOS REFERENCIALES'!$D$9)-((T61)-(Z61)+(AB61)+(AC61))))),IF((('DATOS REFERENCIALES'!$E$9*D61)-(((T61)-Z61+(AB61)+(AC61))))&lt;0,0,('DATOS REFERENCIALES'!$E$9*D61)-((T61)-(Z61)+(AB61)+(AC61))))</f>
        <v>15710.319590741055</v>
      </c>
      <c r="AE61" s="127">
        <f t="shared" si="31"/>
        <v>57199.5</v>
      </c>
      <c r="AF61" s="90">
        <f>IF(D61&gt;30,'DATOS REFERENCIALES'!$D$13,('DATOS REFERENCIALES'!$E$13*D61))</f>
        <v>6169.2000000000007</v>
      </c>
      <c r="AG61" s="241"/>
      <c r="AH61" s="78" t="e">
        <f>IF(D61&gt;'DATOS REFERENCIALES'!#REF!,'DATOS REFERENCIALES'!#REF!,('DATOS REFERENCIALES'!#REF!*D61))</f>
        <v>#REF!</v>
      </c>
      <c r="AI61" s="651">
        <f>IF(D61&gt;'DATOS REFERENCIALES'!$J$16,'DATOS REFERENCIALES'!$D$16,'DATOS REFERENCIALES'!$E$16*D61)</f>
        <v>2700</v>
      </c>
      <c r="AJ61" s="78">
        <f>IF(D61&gt;'DATOS REFERENCIALES'!$J$12,'DATOS REFERENCIALES'!$D$12,'DATOS REFERENCIALES'!$E$12*D61)</f>
        <v>8038.8</v>
      </c>
      <c r="AK61" s="78">
        <f t="shared" si="32"/>
        <v>74107.5</v>
      </c>
      <c r="AL61" s="710"/>
      <c r="AM61" s="710"/>
      <c r="AQ61" s="712"/>
    </row>
    <row r="62" spans="1:43" s="711" customFormat="1" ht="21.6" customHeight="1" thickBot="1" x14ac:dyDescent="0.3">
      <c r="A62" s="59">
        <v>1550</v>
      </c>
      <c r="B62" s="161" t="s">
        <v>57</v>
      </c>
      <c r="C62" s="59">
        <v>0</v>
      </c>
      <c r="D62" s="59">
        <v>12</v>
      </c>
      <c r="E62" s="59"/>
      <c r="F62" s="59"/>
      <c r="G62" s="52">
        <v>672</v>
      </c>
      <c r="H62" s="56">
        <f t="shared" si="23"/>
        <v>672</v>
      </c>
      <c r="I62" s="56"/>
      <c r="J62" s="56"/>
      <c r="K62" s="114">
        <f>H62*'DATOS REFERENCIALES'!$C$4</f>
        <v>12762.95328</v>
      </c>
      <c r="L62" s="114"/>
      <c r="M62" s="114"/>
      <c r="N62" s="79">
        <f>LOOKUP(C62,'TABLA ANTIG.'!$A$4:$A$39,'TABLA ANTIG.'!$B$4:$B$39)*(K62)</f>
        <v>0</v>
      </c>
      <c r="O62" s="79">
        <f t="shared" si="24"/>
        <v>1276.2953280000002</v>
      </c>
      <c r="P62" s="717">
        <f>IF(D62&gt;38,'DATOS REFERENCIALES'!$D$8,'DATOS REFERENCIALES'!$E$8*D62)</f>
        <v>8414.5263157894733</v>
      </c>
      <c r="Q62" s="79">
        <f>LOOKUP(C62,'TABLA ANTIG.'!$A$4:$A$39,'TABLA ANTIG.'!$B$4:$B$39)*(P62)</f>
        <v>0</v>
      </c>
      <c r="R62" s="147">
        <v>0</v>
      </c>
      <c r="S62" s="79">
        <f>IF(C62&gt;11,IF(H62&gt;1134,'DATOS REFERENCIALES'!$C$18,'DATOS REFERENCIALES'!$C$18/20*D62),0)</f>
        <v>0</v>
      </c>
      <c r="T62" s="128">
        <f>K62+N62+O62+P62+Q62+R62+S62</f>
        <v>22453.774923789475</v>
      </c>
      <c r="U62" s="79">
        <f t="shared" si="25"/>
        <v>2469.9152416168422</v>
      </c>
      <c r="V62" s="79">
        <f t="shared" si="26"/>
        <v>673.61324771368425</v>
      </c>
      <c r="W62" s="79">
        <f t="shared" si="26"/>
        <v>673.61324771368425</v>
      </c>
      <c r="X62" s="79">
        <f t="shared" si="27"/>
        <v>449.07549847578952</v>
      </c>
      <c r="Y62" s="79">
        <f t="shared" si="28"/>
        <v>1010.4198715705263</v>
      </c>
      <c r="Z62" s="79">
        <f t="shared" si="29"/>
        <v>5276.6371070905261</v>
      </c>
      <c r="AA62" s="79">
        <f t="shared" si="30"/>
        <v>17177.137816698949</v>
      </c>
      <c r="AB62" s="166">
        <f>'DATOS REFERENCIALES'!$E$10*12</f>
        <v>0</v>
      </c>
      <c r="AC62" s="688">
        <f>IF(C62&lt;12,IF(D62&gt;'DATOS REFERENCIALES'!$J$17,'DATOS REFERENCIALES'!$D$17,('DATOS REFERENCIALES'!$E$17*D62)),0)</f>
        <v>10482.315789473683</v>
      </c>
      <c r="AD62" s="79">
        <f>IF(D62&gt;41,IF((('DATOS REFERENCIALES'!$D$9)-((T62)-Z62+(AB62)+(AC62)))&lt;0,0,((('DATOS REFERENCIALES'!$D$9)-((T62)-(Z62)+(AB62)+(AC62))))),IF((('DATOS REFERENCIALES'!$E$9*D62)-(((T62)-Z62+(AB62)+(AC62))))&lt;0,0,('DATOS REFERENCIALES'!$E$9*D62)-((T62)-(Z62)+(AB62)+(AC62))))</f>
        <v>10473.546393827368</v>
      </c>
      <c r="AE62" s="128">
        <f t="shared" si="31"/>
        <v>38133</v>
      </c>
      <c r="AF62" s="91">
        <f>IF(D62&gt;30,'DATOS REFERENCIALES'!$D$13,('DATOS REFERENCIALES'!$E$13*D62))</f>
        <v>4112.8</v>
      </c>
      <c r="AG62" s="239"/>
      <c r="AH62" s="79" t="e">
        <f>IF(D62&gt;'DATOS REFERENCIALES'!#REF!,'DATOS REFERENCIALES'!#REF!,('DATOS REFERENCIALES'!#REF!*D62))</f>
        <v>#REF!</v>
      </c>
      <c r="AI62" s="593">
        <f>IF(D62&gt;'DATOS REFERENCIALES'!$J$16,'DATOS REFERENCIALES'!$D$16,'DATOS REFERENCIALES'!$E$16*D62)</f>
        <v>1800</v>
      </c>
      <c r="AJ62" s="79">
        <f>IF(D62&gt;'DATOS REFERENCIALES'!$J$12,'DATOS REFERENCIALES'!$D$12,'DATOS REFERENCIALES'!$E$12*D62)</f>
        <v>5359.2000000000007</v>
      </c>
      <c r="AK62" s="79">
        <f t="shared" si="32"/>
        <v>49405</v>
      </c>
      <c r="AL62" s="710"/>
      <c r="AM62" s="710"/>
      <c r="AQ62" s="712"/>
    </row>
    <row r="63" spans="1:43" s="1" customFormat="1" ht="21.75" customHeight="1" x14ac:dyDescent="0.25">
      <c r="A63" s="120"/>
      <c r="B63" s="121"/>
      <c r="C63" s="122"/>
      <c r="D63" s="122"/>
      <c r="E63" s="122"/>
      <c r="F63" s="122"/>
      <c r="G63" s="66"/>
      <c r="H63" s="43"/>
      <c r="I63" s="43"/>
      <c r="J63" s="43"/>
      <c r="K63" s="40"/>
      <c r="L63" s="40"/>
      <c r="M63" s="40"/>
      <c r="N63" s="41"/>
      <c r="O63" s="72"/>
      <c r="P63" s="125"/>
      <c r="Q63" s="41"/>
      <c r="R63" s="123"/>
      <c r="S63" s="123"/>
      <c r="T63" s="72"/>
      <c r="U63" s="123"/>
      <c r="V63" s="123"/>
      <c r="W63" s="123"/>
      <c r="X63" s="41"/>
      <c r="Y63" s="41"/>
      <c r="Z63" s="72"/>
      <c r="AA63" s="44"/>
      <c r="AB63" s="126"/>
      <c r="AC63" s="126"/>
      <c r="AD63" s="44"/>
      <c r="AE63" s="44"/>
      <c r="AF63" s="46"/>
      <c r="AG63" s="46"/>
      <c r="AH63" s="44"/>
      <c r="AI63" s="44"/>
      <c r="AJ63" s="44"/>
      <c r="AK63" s="44"/>
      <c r="AL63" s="17"/>
      <c r="AM63" s="17"/>
      <c r="AQ63" s="8"/>
    </row>
  </sheetData>
  <mergeCells count="111">
    <mergeCell ref="AK12:AK13"/>
    <mergeCell ref="AK14:AK15"/>
    <mergeCell ref="AJ9:AJ10"/>
    <mergeCell ref="AJ32:AJ33"/>
    <mergeCell ref="AC9:AC10"/>
    <mergeCell ref="AI9:AI10"/>
    <mergeCell ref="AC32:AC33"/>
    <mergeCell ref="AI32:AI33"/>
    <mergeCell ref="E32:E33"/>
    <mergeCell ref="G32:G33"/>
    <mergeCell ref="H32:H33"/>
    <mergeCell ref="I32:I33"/>
    <mergeCell ref="F9:F10"/>
    <mergeCell ref="AA9:AA10"/>
    <mergeCell ref="R9:R10"/>
    <mergeCell ref="Q9:Q10"/>
    <mergeCell ref="T9:T10"/>
    <mergeCell ref="Z32:Z33"/>
    <mergeCell ref="AA32:AA33"/>
    <mergeCell ref="AK55:AK56"/>
    <mergeCell ref="AK57:AK58"/>
    <mergeCell ref="AK53:AK54"/>
    <mergeCell ref="AJ53:AJ54"/>
    <mergeCell ref="AG53:AG54"/>
    <mergeCell ref="A6:AK6"/>
    <mergeCell ref="K3:AA5"/>
    <mergeCell ref="H9:H10"/>
    <mergeCell ref="AB9:AB10"/>
    <mergeCell ref="A8:AK8"/>
    <mergeCell ref="AK9:AK10"/>
    <mergeCell ref="A9:A10"/>
    <mergeCell ref="AD9:AD10"/>
    <mergeCell ref="AE9:AE10"/>
    <mergeCell ref="G9:G10"/>
    <mergeCell ref="U9:Y9"/>
    <mergeCell ref="P9:P10"/>
    <mergeCell ref="M9:M10"/>
    <mergeCell ref="I9:I10"/>
    <mergeCell ref="AF9:AF10"/>
    <mergeCell ref="AG9:AG10"/>
    <mergeCell ref="B9:B10"/>
    <mergeCell ref="AH9:AH10"/>
    <mergeCell ref="D9:D10"/>
    <mergeCell ref="AH53:AH54"/>
    <mergeCell ref="AE53:AE54"/>
    <mergeCell ref="AF53:AF54"/>
    <mergeCell ref="AF32:AF33"/>
    <mergeCell ref="AK32:AK33"/>
    <mergeCell ref="AK34:AK35"/>
    <mergeCell ref="AK36:AK37"/>
    <mergeCell ref="AK38:AK39"/>
    <mergeCell ref="AB53:AB54"/>
    <mergeCell ref="AI53:AI54"/>
    <mergeCell ref="AC53:AC54"/>
    <mergeCell ref="AE32:AE33"/>
    <mergeCell ref="AD32:AD33"/>
    <mergeCell ref="AH32:AH33"/>
    <mergeCell ref="AG32:AG33"/>
    <mergeCell ref="AB32:AB33"/>
    <mergeCell ref="AA53:AA54"/>
    <mergeCell ref="Q53:Q54"/>
    <mergeCell ref="AD53:AD54"/>
    <mergeCell ref="R53:R54"/>
    <mergeCell ref="U53:Y53"/>
    <mergeCell ref="S53:S54"/>
    <mergeCell ref="U32:Y32"/>
    <mergeCell ref="R32:R33"/>
    <mergeCell ref="S32:S33"/>
    <mergeCell ref="T32:T33"/>
    <mergeCell ref="P53:P54"/>
    <mergeCell ref="I53:I54"/>
    <mergeCell ref="J53:J54"/>
    <mergeCell ref="O53:O54"/>
    <mergeCell ref="L53:L54"/>
    <mergeCell ref="M53:M54"/>
    <mergeCell ref="N53:N54"/>
    <mergeCell ref="T53:T54"/>
    <mergeCell ref="Z53:Z54"/>
    <mergeCell ref="A53:A54"/>
    <mergeCell ref="G53:G54"/>
    <mergeCell ref="H53:H54"/>
    <mergeCell ref="C53:C54"/>
    <mergeCell ref="E53:E54"/>
    <mergeCell ref="F53:F54"/>
    <mergeCell ref="B53:B54"/>
    <mergeCell ref="D53:D54"/>
    <mergeCell ref="K53:K54"/>
    <mergeCell ref="A7:AK7"/>
    <mergeCell ref="E9:E10"/>
    <mergeCell ref="P32:P33"/>
    <mergeCell ref="O32:O33"/>
    <mergeCell ref="N9:N10"/>
    <mergeCell ref="K9:K10"/>
    <mergeCell ref="L9:L10"/>
    <mergeCell ref="J9:J10"/>
    <mergeCell ref="Q32:Q33"/>
    <mergeCell ref="C9:C10"/>
    <mergeCell ref="Z9:Z10"/>
    <mergeCell ref="O9:O10"/>
    <mergeCell ref="A32:A33"/>
    <mergeCell ref="B32:B33"/>
    <mergeCell ref="J32:J33"/>
    <mergeCell ref="L32:L33"/>
    <mergeCell ref="M32:M33"/>
    <mergeCell ref="C32:C33"/>
    <mergeCell ref="F32:F33"/>
    <mergeCell ref="N32:N33"/>
    <mergeCell ref="K32:K33"/>
    <mergeCell ref="D32:D33"/>
    <mergeCell ref="AE31:AK31"/>
    <mergeCell ref="S9:S10"/>
  </mergeCells>
  <dataValidations count="1">
    <dataValidation type="list" allowBlank="1" showInputMessage="1" showErrorMessage="1" sqref="J56" xr:uid="{00000000-0002-0000-0400-000000000000}">
      <formula1>$C$30:$C$37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'DATOS REFERENCIALES'!$C$31:$C$38</xm:f>
          </x14:formula1>
          <xm:sqref>J35 J13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35"/>
  <sheetViews>
    <sheetView zoomScale="66" zoomScaleNormal="66" workbookViewId="0">
      <selection activeCell="A7" sqref="A7:AJ7"/>
    </sheetView>
  </sheetViews>
  <sheetFormatPr baseColWidth="10" defaultRowHeight="13.2" x14ac:dyDescent="0.25"/>
  <cols>
    <col min="2" max="2" width="57.109375" bestFit="1" customWidth="1"/>
    <col min="5" max="5" width="12.6640625" hidden="1" customWidth="1"/>
    <col min="6" max="7" width="0" hidden="1" customWidth="1"/>
    <col min="8" max="8" width="11.44140625" customWidth="1"/>
    <col min="9" max="9" width="14" customWidth="1"/>
    <col min="10" max="10" width="16.5546875" customWidth="1"/>
    <col min="11" max="11" width="14.6640625" customWidth="1"/>
    <col min="12" max="12" width="19.109375" customWidth="1"/>
    <col min="13" max="13" width="19.5546875" customWidth="1"/>
    <col min="14" max="14" width="17" customWidth="1"/>
    <col min="15" max="15" width="18.5546875" customWidth="1"/>
    <col min="16" max="16" width="16" customWidth="1"/>
    <col min="17" max="17" width="17" customWidth="1"/>
    <col min="18" max="18" width="0" hidden="1" customWidth="1"/>
    <col min="19" max="19" width="16.109375" customWidth="1"/>
    <col min="20" max="20" width="15.33203125" customWidth="1"/>
    <col min="21" max="21" width="14.5546875" customWidth="1"/>
    <col min="22" max="22" width="13.33203125" customWidth="1"/>
    <col min="23" max="23" width="13" customWidth="1"/>
    <col min="24" max="24" width="12.5546875" customWidth="1"/>
    <col min="25" max="25" width="14.6640625" customWidth="1"/>
    <col min="26" max="26" width="15" customWidth="1"/>
    <col min="27" max="27" width="16.6640625" customWidth="1"/>
    <col min="28" max="28" width="13.5546875" hidden="1" customWidth="1"/>
    <col min="29" max="29" width="19" customWidth="1"/>
    <col min="30" max="30" width="15.109375" customWidth="1"/>
    <col min="31" max="32" width="14.88671875" bestFit="1" customWidth="1"/>
    <col min="33" max="33" width="15" hidden="1" customWidth="1"/>
    <col min="34" max="34" width="16.6640625" customWidth="1"/>
    <col min="35" max="35" width="16.5546875" customWidth="1"/>
    <col min="36" max="36" width="15.109375" bestFit="1" customWidth="1"/>
  </cols>
  <sheetData>
    <row r="1" spans="1:42" s="1" customFormat="1" x14ac:dyDescent="0.25">
      <c r="A1" s="10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3"/>
      <c r="O1" s="13"/>
      <c r="P1" s="14"/>
      <c r="Q1" s="14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516"/>
      <c r="AD1" s="13"/>
      <c r="AE1" s="13"/>
      <c r="AF1" s="13"/>
      <c r="AG1" s="13"/>
      <c r="AH1" s="516"/>
      <c r="AI1" s="13"/>
      <c r="AJ1" s="13"/>
    </row>
    <row r="2" spans="1:42" s="1" customFormat="1" x14ac:dyDescent="0.25">
      <c r="A2" s="10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3"/>
      <c r="O2" s="13"/>
      <c r="P2" s="14"/>
      <c r="Q2" s="14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516"/>
      <c r="AD2" s="13"/>
      <c r="AE2" s="13"/>
      <c r="AF2" s="13"/>
      <c r="AG2" s="13"/>
      <c r="AH2" s="516"/>
      <c r="AI2" s="13"/>
      <c r="AJ2" s="13"/>
    </row>
    <row r="3" spans="1:42" s="1" customFormat="1" ht="12.75" customHeight="1" x14ac:dyDescent="0.25">
      <c r="A3" s="10"/>
      <c r="C3" s="13"/>
      <c r="D3" s="13"/>
      <c r="E3" s="13"/>
      <c r="F3" s="13"/>
      <c r="G3" s="13"/>
      <c r="H3" s="13"/>
      <c r="I3" s="13"/>
      <c r="J3" s="13"/>
      <c r="K3" s="725" t="s">
        <v>82</v>
      </c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13"/>
      <c r="AC3" s="516"/>
      <c r="AD3" s="13"/>
      <c r="AE3" s="13"/>
      <c r="AF3" s="13"/>
      <c r="AG3" s="13"/>
      <c r="AH3" s="516"/>
      <c r="AI3" s="13"/>
      <c r="AJ3" s="13"/>
    </row>
    <row r="4" spans="1:42" s="1" customFormat="1" ht="12.75" customHeight="1" x14ac:dyDescent="0.25">
      <c r="A4" s="10"/>
      <c r="C4" s="13"/>
      <c r="D4" s="13"/>
      <c r="E4" s="13"/>
      <c r="F4" s="13"/>
      <c r="G4" s="13"/>
      <c r="H4" s="13"/>
      <c r="I4" s="13"/>
      <c r="J4" s="13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13"/>
      <c r="AC4" s="516"/>
      <c r="AD4" s="13"/>
      <c r="AE4" s="13"/>
      <c r="AF4" s="13"/>
      <c r="AG4" s="13"/>
      <c r="AH4" s="516"/>
      <c r="AI4" s="13"/>
      <c r="AJ4" s="13"/>
    </row>
    <row r="5" spans="1:42" s="1" customFormat="1" ht="12.75" customHeight="1" x14ac:dyDescent="0.25">
      <c r="A5" s="10"/>
      <c r="C5" s="13"/>
      <c r="D5" s="13"/>
      <c r="E5" s="13"/>
      <c r="F5" s="13"/>
      <c r="G5" s="13"/>
      <c r="H5" s="13"/>
      <c r="I5" s="13"/>
      <c r="J5" s="13"/>
      <c r="K5" s="725"/>
      <c r="L5" s="725"/>
      <c r="M5" s="725"/>
      <c r="N5" s="725"/>
      <c r="O5" s="725"/>
      <c r="P5" s="725"/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13"/>
      <c r="AC5" s="516"/>
      <c r="AD5" s="13"/>
      <c r="AE5" s="13"/>
      <c r="AF5" s="13"/>
      <c r="AG5" s="13"/>
      <c r="AH5" s="516"/>
      <c r="AI5" s="13"/>
      <c r="AJ5" s="13"/>
    </row>
    <row r="6" spans="1:42" s="1" customFormat="1" ht="28.2" x14ac:dyDescent="0.5">
      <c r="A6" s="728" t="s">
        <v>202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P6" s="728"/>
      <c r="Q6" s="728"/>
      <c r="R6" s="728"/>
      <c r="S6" s="728"/>
      <c r="T6" s="728"/>
      <c r="U6" s="728"/>
      <c r="V6" s="728"/>
      <c r="W6" s="728"/>
      <c r="X6" s="728"/>
      <c r="Y6" s="728"/>
      <c r="Z6" s="728"/>
      <c r="AA6" s="728"/>
      <c r="AB6" s="728"/>
      <c r="AC6" s="728"/>
      <c r="AD6" s="728"/>
      <c r="AE6" s="728"/>
      <c r="AF6" s="728"/>
      <c r="AG6" s="728"/>
      <c r="AH6" s="728"/>
      <c r="AI6" s="728"/>
      <c r="AJ6" s="728"/>
    </row>
    <row r="7" spans="1:42" s="1" customFormat="1" ht="18" thickBot="1" x14ac:dyDescent="0.35">
      <c r="A7" s="807" t="s">
        <v>83</v>
      </c>
      <c r="B7" s="808"/>
      <c r="C7" s="808"/>
      <c r="D7" s="808"/>
      <c r="E7" s="808"/>
      <c r="F7" s="808"/>
      <c r="G7" s="808"/>
      <c r="H7" s="808"/>
      <c r="I7" s="808"/>
      <c r="J7" s="808"/>
      <c r="K7" s="808"/>
      <c r="L7" s="808"/>
      <c r="M7" s="808"/>
      <c r="N7" s="808"/>
      <c r="O7" s="808"/>
      <c r="P7" s="808"/>
      <c r="Q7" s="808"/>
      <c r="R7" s="808"/>
      <c r="S7" s="808"/>
      <c r="T7" s="808"/>
      <c r="U7" s="808"/>
      <c r="V7" s="808"/>
      <c r="W7" s="808"/>
      <c r="X7" s="808"/>
      <c r="Y7" s="808"/>
      <c r="Z7" s="808"/>
      <c r="AA7" s="808"/>
      <c r="AB7" s="808"/>
      <c r="AC7" s="808"/>
      <c r="AD7" s="808"/>
      <c r="AE7" s="808"/>
      <c r="AF7" s="808"/>
      <c r="AG7" s="808"/>
      <c r="AH7" s="808"/>
      <c r="AI7" s="808"/>
      <c r="AJ7" s="808"/>
    </row>
    <row r="8" spans="1:42" s="1" customFormat="1" ht="21" thickBot="1" x14ac:dyDescent="0.4">
      <c r="A8" s="93" t="s">
        <v>133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3" t="s">
        <v>133</v>
      </c>
      <c r="AG8" s="94"/>
      <c r="AH8" s="94"/>
      <c r="AI8" s="94"/>
      <c r="AJ8" s="94"/>
      <c r="AK8" s="17"/>
      <c r="AL8" s="17"/>
    </row>
    <row r="9" spans="1:42" s="2" customFormat="1" ht="12.75" customHeight="1" thickBot="1" x14ac:dyDescent="0.3">
      <c r="A9" s="771" t="s">
        <v>1</v>
      </c>
      <c r="B9" s="771" t="s">
        <v>0</v>
      </c>
      <c r="C9" s="732" t="s">
        <v>77</v>
      </c>
      <c r="D9" s="732" t="s">
        <v>117</v>
      </c>
      <c r="E9" s="732" t="s">
        <v>125</v>
      </c>
      <c r="F9" s="732" t="s">
        <v>111</v>
      </c>
      <c r="G9" s="732" t="s">
        <v>102</v>
      </c>
      <c r="H9" s="732" t="s">
        <v>79</v>
      </c>
      <c r="I9" s="732" t="s">
        <v>143</v>
      </c>
      <c r="J9" s="726" t="s">
        <v>142</v>
      </c>
      <c r="K9" s="736" t="s">
        <v>119</v>
      </c>
      <c r="L9" s="736" t="s">
        <v>141</v>
      </c>
      <c r="M9" s="736" t="s">
        <v>142</v>
      </c>
      <c r="N9" s="734" t="s">
        <v>85</v>
      </c>
      <c r="O9" s="734" t="s">
        <v>118</v>
      </c>
      <c r="P9" s="736" t="s">
        <v>86</v>
      </c>
      <c r="Q9" s="734" t="s">
        <v>101</v>
      </c>
      <c r="R9" s="734" t="s">
        <v>84</v>
      </c>
      <c r="S9" s="736" t="s">
        <v>198</v>
      </c>
      <c r="T9" s="734" t="s">
        <v>69</v>
      </c>
      <c r="U9" s="780" t="s">
        <v>59</v>
      </c>
      <c r="V9" s="781"/>
      <c r="W9" s="781"/>
      <c r="X9" s="781"/>
      <c r="Y9" s="781"/>
      <c r="Z9" s="757" t="s">
        <v>68</v>
      </c>
      <c r="AA9" s="732" t="s">
        <v>89</v>
      </c>
      <c r="AB9" s="732" t="s">
        <v>88</v>
      </c>
      <c r="AC9" s="736" t="s">
        <v>199</v>
      </c>
      <c r="AD9" s="732" t="s">
        <v>87</v>
      </c>
      <c r="AE9" s="732" t="s">
        <v>91</v>
      </c>
      <c r="AF9" s="732" t="s">
        <v>90</v>
      </c>
      <c r="AG9" s="732" t="s">
        <v>169</v>
      </c>
      <c r="AH9" s="736" t="s">
        <v>197</v>
      </c>
      <c r="AI9" s="736" t="s">
        <v>195</v>
      </c>
      <c r="AJ9" s="732" t="s">
        <v>92</v>
      </c>
      <c r="AK9" s="17"/>
      <c r="AL9" s="17"/>
    </row>
    <row r="10" spans="1:42" s="2" customFormat="1" ht="89.25" customHeight="1" thickBot="1" x14ac:dyDescent="0.3">
      <c r="A10" s="772"/>
      <c r="B10" s="772"/>
      <c r="C10" s="733"/>
      <c r="D10" s="733"/>
      <c r="E10" s="733"/>
      <c r="F10" s="733"/>
      <c r="G10" s="733"/>
      <c r="H10" s="733"/>
      <c r="I10" s="733"/>
      <c r="J10" s="727"/>
      <c r="K10" s="737"/>
      <c r="L10" s="737"/>
      <c r="M10" s="737"/>
      <c r="N10" s="735"/>
      <c r="O10" s="735"/>
      <c r="P10" s="737"/>
      <c r="Q10" s="735"/>
      <c r="R10" s="735"/>
      <c r="S10" s="737"/>
      <c r="T10" s="735"/>
      <c r="U10" s="76" t="s">
        <v>138</v>
      </c>
      <c r="V10" s="102" t="s">
        <v>61</v>
      </c>
      <c r="W10" s="102" t="s">
        <v>62</v>
      </c>
      <c r="X10" s="102" t="s">
        <v>63</v>
      </c>
      <c r="Y10" s="102" t="s">
        <v>64</v>
      </c>
      <c r="Z10" s="779"/>
      <c r="AA10" s="733"/>
      <c r="AB10" s="733"/>
      <c r="AC10" s="737"/>
      <c r="AD10" s="733"/>
      <c r="AE10" s="733"/>
      <c r="AF10" s="733"/>
      <c r="AG10" s="733"/>
      <c r="AH10" s="737"/>
      <c r="AI10" s="737"/>
      <c r="AJ10" s="733"/>
      <c r="AK10" s="17"/>
      <c r="AL10" s="17"/>
    </row>
    <row r="11" spans="1:42" s="1" customFormat="1" ht="21.75" customHeight="1" x14ac:dyDescent="0.25">
      <c r="A11" s="333">
        <v>3509</v>
      </c>
      <c r="B11" s="373" t="s">
        <v>23</v>
      </c>
      <c r="C11" s="305">
        <v>0</v>
      </c>
      <c r="D11" s="305"/>
      <c r="E11" s="305"/>
      <c r="F11" s="305"/>
      <c r="G11" s="374">
        <v>3422</v>
      </c>
      <c r="H11" s="305">
        <f t="shared" ref="H11:H24" si="0">SUM(G11:G11)</f>
        <v>3422</v>
      </c>
      <c r="I11" s="305"/>
      <c r="J11" s="305"/>
      <c r="K11" s="310">
        <f>H11*'DATOS REFERENCIALES'!$C$4</f>
        <v>64992.300779999998</v>
      </c>
      <c r="L11" s="310"/>
      <c r="M11" s="310"/>
      <c r="N11" s="312">
        <f>LOOKUP(C11,'TABLA ANTIG.'!$A$4:$A$39,'TABLA ANTIG.'!$B$4:$B$39)*(K11)</f>
        <v>0</v>
      </c>
      <c r="O11" s="315">
        <f t="shared" ref="O11:O24" si="1">K11*0.1</f>
        <v>6499.2300780000005</v>
      </c>
      <c r="P11" s="310">
        <f>IF(H11&gt;1134,'DATOS REFERENCIALES'!$C$8,IF(('DATOS REFERENCIALES'!$C$8/1135*H11)&lt;'DATOS REFERENCIALES'!$F$8,'DATOS REFERENCIALES'!$F$8))</f>
        <v>13323</v>
      </c>
      <c r="Q11" s="316">
        <f>LOOKUP(C11,'TABLA ANTIG.'!$A$4:$A$39,'TABLA ANTIG.'!$B$4:$B$39)*(P11)</f>
        <v>0</v>
      </c>
      <c r="R11" s="312">
        <v>0</v>
      </c>
      <c r="S11" s="312">
        <f>IF(C11&gt;11,IF(H11&gt;1134,'DATOS REFERENCIALES'!$C$18,'DATOS REFERENCIALES'!$C$18/1135*H11),0)</f>
        <v>0</v>
      </c>
      <c r="T11" s="312">
        <f>K11+N11+O11+P11+Q11+R11+S11</f>
        <v>84814.530857999998</v>
      </c>
      <c r="U11" s="312">
        <f t="shared" ref="U11:U24" si="2">$T11*11%</f>
        <v>9329.5983943800002</v>
      </c>
      <c r="V11" s="312">
        <f t="shared" ref="V11:W24" si="3">$T11*3%</f>
        <v>2544.4359257399997</v>
      </c>
      <c r="W11" s="312">
        <f t="shared" si="3"/>
        <v>2544.4359257399997</v>
      </c>
      <c r="X11" s="312">
        <f t="shared" ref="X11:X24" si="4">$T11*2%</f>
        <v>1696.29061716</v>
      </c>
      <c r="Y11" s="312">
        <f t="shared" ref="Y11:Y24" si="5">$T11*4.5%</f>
        <v>3816.6538886099997</v>
      </c>
      <c r="Z11" s="312">
        <f t="shared" ref="Z11:Z24" si="6">SUM(U11:Y11)</f>
        <v>19931.41475163</v>
      </c>
      <c r="AA11" s="312">
        <f t="shared" ref="AA11:AA24" si="7">T11-Z11</f>
        <v>64883.116106369998</v>
      </c>
      <c r="AB11" s="315">
        <f>'DATOS REFERENCIALES'!$C$10</f>
        <v>0</v>
      </c>
      <c r="AC11" s="312">
        <f>IF(C11&lt;12,IF(H11&gt;1134,'DATOS REFERENCIALES'!$C$17,IF(('DATOS REFERENCIALES'!$C$17/1135*H11)&lt;'DATOS REFERENCIALES'!$F$17,'DATOS REFERENCIALES'!$F$17,('DATOS REFERENCIALES'!$C$17/1135*H11))),0)</f>
        <v>16597</v>
      </c>
      <c r="AD11" s="312">
        <f>IF((IF(H11&gt;1134,('DATOS REFERENCIALES'!$C$9-(T11-U11-V11-W11-X11-Y11+AB11+AC11-L11-L11*0.235)),(('DATOS REFERENCIALES'!$C$9/1135)*H11)-(K11+N11+O11+P11+Q11+S11-U11-V11-W11-X11-Y11+AB11+AC11-(L11-L11*0.235))))&lt;0,0,IF(H11&gt;1134,(('DATOS REFERENCIALES'!$C$9)-(T11-U11-V11-W11-X11-Y11+AB11+AC11-(L11-L11*0.235))),(('DATOS REFERENCIALES'!$C$9/1135)*H11)-(K11+N11+O11+P11+Q11+S11-U11-V11-W11-X11-Y11+AB11+AC11-(L11-L11*0.235))))</f>
        <v>0</v>
      </c>
      <c r="AE11" s="316">
        <f t="shared" ref="AE11:AE24" si="8">SUM(AA11:AD11)</f>
        <v>81480.116106369998</v>
      </c>
      <c r="AF11" s="389">
        <f>'DATOS REFERENCIALES'!$C$13</f>
        <v>5141</v>
      </c>
      <c r="AG11" s="338" t="e">
        <f>IF($H11&gt;1119,'DATOS REFERENCIALES'!#REF!,'DATOS REFERENCIALES'!#REF!/1120*$H11)</f>
        <v>#REF!</v>
      </c>
      <c r="AH11" s="389">
        <f>'DATOS REFERENCIALES'!$C$16</f>
        <v>2250</v>
      </c>
      <c r="AI11" s="312">
        <f>'DATOS REFERENCIALES'!$C$12</f>
        <v>6699</v>
      </c>
      <c r="AJ11" s="763">
        <f>+AE11+AE12+AF11+AH11+AI11</f>
        <v>111977.42243828099</v>
      </c>
      <c r="AK11" s="17"/>
      <c r="AL11" s="17"/>
      <c r="AP11" s="8"/>
    </row>
    <row r="12" spans="1:42" s="1" customFormat="1" ht="26.25" customHeight="1" thickBot="1" x14ac:dyDescent="0.3">
      <c r="A12" s="684">
        <v>3509</v>
      </c>
      <c r="B12" s="685" t="s">
        <v>23</v>
      </c>
      <c r="C12" s="676">
        <f>IF(C11&gt;0,C11,0)</f>
        <v>0</v>
      </c>
      <c r="D12" s="676"/>
      <c r="E12" s="676"/>
      <c r="F12" s="676"/>
      <c r="G12" s="677"/>
      <c r="H12" s="676"/>
      <c r="I12" s="534">
        <f>H11*'DATOS REFERENCIALES'!$K$4/100</f>
        <v>513.29999999999995</v>
      </c>
      <c r="J12" s="686">
        <v>0.15</v>
      </c>
      <c r="K12" s="406"/>
      <c r="L12" s="406">
        <f>I12*'DATOS REFERENCIALES'!$C$4</f>
        <v>9748.8451169999989</v>
      </c>
      <c r="M12" s="406">
        <f>K11*J12</f>
        <v>9748.8451169999989</v>
      </c>
      <c r="N12" s="407">
        <f>LOOKUP(C12,'TABLA ANTIG.'!$A$4:$A$39,'TABLA ANTIG.'!$B$4:$B$39)*(L12+M12)</f>
        <v>0</v>
      </c>
      <c r="O12" s="407">
        <f>(L12+M12)*0.1</f>
        <v>1949.7690233999999</v>
      </c>
      <c r="P12" s="406"/>
      <c r="Q12" s="407"/>
      <c r="R12" s="410"/>
      <c r="S12" s="407"/>
      <c r="T12" s="407">
        <f>L12+M12+N12+O12+P12+Q12+R12</f>
        <v>21447.459257399998</v>
      </c>
      <c r="U12" s="408">
        <f t="shared" si="2"/>
        <v>2359.2205183139999</v>
      </c>
      <c r="V12" s="407">
        <f t="shared" si="3"/>
        <v>643.42377772199995</v>
      </c>
      <c r="W12" s="408">
        <f t="shared" si="3"/>
        <v>643.42377772199995</v>
      </c>
      <c r="X12" s="407">
        <f>$T12*2%</f>
        <v>428.94918514799997</v>
      </c>
      <c r="Y12" s="407">
        <f t="shared" si="5"/>
        <v>965.13566658299987</v>
      </c>
      <c r="Z12" s="407">
        <f t="shared" si="6"/>
        <v>5040.1529254890002</v>
      </c>
      <c r="AA12" s="409">
        <f t="shared" si="7"/>
        <v>16407.306331910997</v>
      </c>
      <c r="AB12" s="407"/>
      <c r="AC12" s="408"/>
      <c r="AD12" s="407"/>
      <c r="AE12" s="410">
        <f t="shared" si="8"/>
        <v>16407.306331910997</v>
      </c>
      <c r="AF12" s="485"/>
      <c r="AG12" s="411"/>
      <c r="AH12" s="407"/>
      <c r="AI12" s="407"/>
      <c r="AJ12" s="809"/>
      <c r="AK12" s="17"/>
      <c r="AL12" s="17"/>
      <c r="AP12" s="8"/>
    </row>
    <row r="13" spans="1:42" s="1" customFormat="1" ht="21.75" customHeight="1" x14ac:dyDescent="0.25">
      <c r="A13" s="363">
        <v>3510</v>
      </c>
      <c r="B13" s="244" t="s">
        <v>38</v>
      </c>
      <c r="C13" s="245">
        <v>0</v>
      </c>
      <c r="D13" s="245"/>
      <c r="E13" s="245"/>
      <c r="F13" s="245"/>
      <c r="G13" s="246">
        <v>2874</v>
      </c>
      <c r="H13" s="245">
        <f t="shared" si="0"/>
        <v>2874</v>
      </c>
      <c r="I13" s="245"/>
      <c r="J13" s="245"/>
      <c r="K13" s="247">
        <f>H13*'DATOS REFERENCIALES'!$C$4</f>
        <v>54584.416259999998</v>
      </c>
      <c r="L13" s="247"/>
      <c r="M13" s="247"/>
      <c r="N13" s="249">
        <f>LOOKUP(C13,'TABLA ANTIG.'!$A$4:$A$39,'TABLA ANTIG.'!$B$4:$B$39)*(K13)</f>
        <v>0</v>
      </c>
      <c r="O13" s="252">
        <f t="shared" si="1"/>
        <v>5458.4416259999998</v>
      </c>
      <c r="P13" s="247">
        <f>IF(H13&gt;1134,'DATOS REFERENCIALES'!$C$8,IF(('DATOS REFERENCIALES'!$C$8/1135*H13)&lt;'DATOS REFERENCIALES'!$F$8,'DATOS REFERENCIALES'!$F$8))</f>
        <v>13323</v>
      </c>
      <c r="Q13" s="251">
        <f>LOOKUP(C13,'TABLA ANTIG.'!$A$4:$A$39,'TABLA ANTIG.'!$B$4:$B$39)*(P13)</f>
        <v>0</v>
      </c>
      <c r="R13" s="249">
        <v>0</v>
      </c>
      <c r="S13" s="249">
        <f>IF(C13&gt;11,IF(H13&gt;1134,'DATOS REFERENCIALES'!$C$18,'DATOS REFERENCIALES'!$C$18/1135*H13),0)</f>
        <v>0</v>
      </c>
      <c r="T13" s="249">
        <f>K13+N13+O13+P13+Q13+R13+S13</f>
        <v>73365.857885999998</v>
      </c>
      <c r="U13" s="249">
        <f t="shared" si="2"/>
        <v>8070.2443674599999</v>
      </c>
      <c r="V13" s="249">
        <f t="shared" si="3"/>
        <v>2200.9757365799996</v>
      </c>
      <c r="W13" s="249">
        <f t="shared" si="3"/>
        <v>2200.9757365799996</v>
      </c>
      <c r="X13" s="249">
        <f t="shared" si="4"/>
        <v>1467.3171577200001</v>
      </c>
      <c r="Y13" s="249">
        <f t="shared" si="5"/>
        <v>3301.4636048699999</v>
      </c>
      <c r="Z13" s="249">
        <f t="shared" si="6"/>
        <v>17240.976603210001</v>
      </c>
      <c r="AA13" s="249">
        <f t="shared" si="7"/>
        <v>56124.881282789996</v>
      </c>
      <c r="AB13" s="252">
        <f>'DATOS REFERENCIALES'!$C$10</f>
        <v>0</v>
      </c>
      <c r="AC13" s="249">
        <f>IF(C13&lt;12,IF(H13&gt;1134,'DATOS REFERENCIALES'!$C$17,IF(('DATOS REFERENCIALES'!$C$17/1135*H13)&lt;'DATOS REFERENCIALES'!$F$17,'DATOS REFERENCIALES'!$F$17,('DATOS REFERENCIALES'!$C$17/1135*H13))),0)</f>
        <v>16597</v>
      </c>
      <c r="AD13" s="249">
        <f>IF((IF(H13&gt;1134,('DATOS REFERENCIALES'!$C$9-(T13-U13-V13-W13-X13-Y13+AB13+AC13-L13-L13*0.235)),(('DATOS REFERENCIALES'!$C$9/1135)*H13)-(K13+N13+O13+P13+Q13+S13-U13-V13-W13-X13-Y13+AB13+AC13-(L13-L13*0.235))))&lt;0,0,IF(H13&gt;1134,(('DATOS REFERENCIALES'!$C$9)-(T13-U13-V13-W13-X13-Y13+AB13+AC13-(L13-L13*0.235))),(('DATOS REFERENCIALES'!$C$9/1135)*H13)-(K13+N13+O13+P13+Q13+S13-U13-V13-W13-X13-Y13+AB13+AC13-(L13-L13*0.235))))</f>
        <v>0</v>
      </c>
      <c r="AE13" s="251">
        <f t="shared" si="8"/>
        <v>72721.881282789996</v>
      </c>
      <c r="AF13" s="249">
        <f>'DATOS REFERENCIALES'!$C$13</f>
        <v>5141</v>
      </c>
      <c r="AG13" s="366" t="e">
        <f>IF($H13&gt;1119,'DATOS REFERENCIALES'!#REF!,'DATOS REFERENCIALES'!#REF!/1120*$H13)</f>
        <v>#REF!</v>
      </c>
      <c r="AH13" s="249">
        <f>'DATOS REFERENCIALES'!$C$16</f>
        <v>2250</v>
      </c>
      <c r="AI13" s="249">
        <f>'DATOS REFERENCIALES'!$C$12</f>
        <v>6699</v>
      </c>
      <c r="AJ13" s="765">
        <f>+AE13+AE14+AF13+AH13+AI13</f>
        <v>93701.799225208495</v>
      </c>
      <c r="AK13" s="17"/>
      <c r="AL13" s="17"/>
      <c r="AP13" s="8"/>
    </row>
    <row r="14" spans="1:42" s="1" customFormat="1" ht="21.75" customHeight="1" thickBot="1" x14ac:dyDescent="0.3">
      <c r="A14" s="367">
        <v>3510</v>
      </c>
      <c r="B14" s="384" t="s">
        <v>38</v>
      </c>
      <c r="C14" s="575">
        <f>IF(C13&gt;0,C13,0)</f>
        <v>0</v>
      </c>
      <c r="D14" s="296"/>
      <c r="E14" s="296"/>
      <c r="F14" s="296"/>
      <c r="G14" s="385"/>
      <c r="H14" s="296"/>
      <c r="I14" s="529">
        <f>H13*'DATOS REFERENCIALES'!$K$4/100</f>
        <v>431.1</v>
      </c>
      <c r="J14" s="472"/>
      <c r="K14" s="300"/>
      <c r="L14" s="300">
        <f>I14*'DATOS REFERENCIALES'!$C$4</f>
        <v>8187.6624390000006</v>
      </c>
      <c r="M14" s="300">
        <f>IF(J14='DATOS REFERENCIALES'!$C$31,K13*'DATOS REFERENCIALES'!$D$31,IF(J14='DATOS REFERENCIALES'!$C$32,('DATOS REFERENCIALES'!$D$32*K13),IF(J14='DATOS REFERENCIALES'!$C$33,('DATOS REFERENCIALES'!$D$33*K13),IF(J14='DATOS REFERENCIALES'!$C$34,('DATOS REFERENCIALES'!$D$34*K13),IF(J14='DATOS REFERENCIALES'!$C$35,('DATOS REFERENCIALES'!$D$35*K13),IF(J14='DATOS REFERENCIALES'!$C$36,('DATOS REFERENCIALES'!$D$36*K13),IF(J14='DATOS REFERENCIALES'!$C$37,('DATOS REFERENCIALES'!$D$37*K13),IF(J14='DATOS REFERENCIALES'!$C$38,('DATOS REFERENCIALES'!$D$38*K13),0))))))))</f>
        <v>0</v>
      </c>
      <c r="N14" s="268">
        <f>LOOKUP(C14,'TABLA ANTIG.'!$A$4:$A$39,'TABLA ANTIG.'!$B$4:$B$39)*(L14+M14)</f>
        <v>0</v>
      </c>
      <c r="O14" s="301">
        <f>(L14+M14)*0.1</f>
        <v>818.76624390000006</v>
      </c>
      <c r="P14" s="300"/>
      <c r="Q14" s="302"/>
      <c r="R14" s="266"/>
      <c r="S14" s="301"/>
      <c r="T14" s="268">
        <f>L14+M14+N14+O14+P14+Q14+R14</f>
        <v>9006.4286829000011</v>
      </c>
      <c r="U14" s="301">
        <f t="shared" si="2"/>
        <v>990.70715511900016</v>
      </c>
      <c r="V14" s="268">
        <f t="shared" si="3"/>
        <v>270.19286048700002</v>
      </c>
      <c r="W14" s="301">
        <f t="shared" si="3"/>
        <v>270.19286048700002</v>
      </c>
      <c r="X14" s="268">
        <f>$T14*2%</f>
        <v>180.12857365800002</v>
      </c>
      <c r="Y14" s="268">
        <f t="shared" si="5"/>
        <v>405.28929073050006</v>
      </c>
      <c r="Z14" s="268">
        <f t="shared" si="6"/>
        <v>2116.5107404815003</v>
      </c>
      <c r="AA14" s="302">
        <f t="shared" si="7"/>
        <v>6889.9179424185004</v>
      </c>
      <c r="AB14" s="268"/>
      <c r="AC14" s="494"/>
      <c r="AD14" s="268"/>
      <c r="AE14" s="266">
        <f t="shared" si="8"/>
        <v>6889.9179424185004</v>
      </c>
      <c r="AF14" s="481"/>
      <c r="AG14" s="372"/>
      <c r="AH14" s="372"/>
      <c r="AI14" s="268"/>
      <c r="AJ14" s="766"/>
      <c r="AK14" s="17"/>
      <c r="AL14" s="17"/>
      <c r="AP14" s="8"/>
    </row>
    <row r="15" spans="1:42" s="1" customFormat="1" ht="21.75" customHeight="1" x14ac:dyDescent="0.25">
      <c r="A15" s="550">
        <v>3525</v>
      </c>
      <c r="B15" s="551" t="s">
        <v>25</v>
      </c>
      <c r="C15" s="552">
        <v>0</v>
      </c>
      <c r="D15" s="552"/>
      <c r="E15" s="552"/>
      <c r="F15" s="552"/>
      <c r="G15" s="553">
        <v>2204</v>
      </c>
      <c r="H15" s="554">
        <v>2500</v>
      </c>
      <c r="I15" s="554"/>
      <c r="J15" s="554"/>
      <c r="K15" s="555">
        <f>H15*'DATOS REFERENCIALES'!$C$4</f>
        <v>47481.224999999999</v>
      </c>
      <c r="L15" s="555"/>
      <c r="M15" s="555"/>
      <c r="N15" s="77">
        <f>LOOKUP(C15,'TABLA ANTIG.'!$A$4:$A$39,'TABLA ANTIG.'!$B$4:$B$39)*(K15)</f>
        <v>0</v>
      </c>
      <c r="O15" s="556">
        <f t="shared" si="1"/>
        <v>4748.1225000000004</v>
      </c>
      <c r="P15" s="592">
        <f>IF(H15&gt;1134,'DATOS REFERENCIALES'!$C$8,IF(('DATOS REFERENCIALES'!$C$8/1135*H15)&lt;'DATOS REFERENCIALES'!$F$8,'DATOS REFERENCIALES'!$F$8))</f>
        <v>13323</v>
      </c>
      <c r="Q15" s="549">
        <f>LOOKUP(C15,'TABLA ANTIG.'!$A$4:$A$39,'TABLA ANTIG.'!$B$4:$B$39)*(P15)</f>
        <v>0</v>
      </c>
      <c r="R15" s="556">
        <v>0</v>
      </c>
      <c r="S15" s="689">
        <f>IF(C15&gt;11,IF(H15&gt;1134,'DATOS REFERENCIALES'!$C$18,IF(('DATOS REFERENCIALES'!$C$18/1135*H15)&lt;'DATOS REFERENCIALES'!$F$18,'DATOS REFERENCIALES'!$F$18,'DATOS REFERENCIALES'!$C$18/1135*H15)),0)</f>
        <v>0</v>
      </c>
      <c r="T15" s="503">
        <f t="shared" ref="T15:T24" si="9">K15+N15+O15+P15+Q15+R15+S15</f>
        <v>65552.347500000003</v>
      </c>
      <c r="U15" s="495">
        <f t="shared" si="2"/>
        <v>7210.7582250000005</v>
      </c>
      <c r="V15" s="495">
        <f t="shared" si="3"/>
        <v>1966.5704250000001</v>
      </c>
      <c r="W15" s="495">
        <f t="shared" si="3"/>
        <v>1966.5704250000001</v>
      </c>
      <c r="X15" s="495">
        <f t="shared" si="4"/>
        <v>1311.0469500000002</v>
      </c>
      <c r="Y15" s="495">
        <f t="shared" si="5"/>
        <v>2949.8556374999998</v>
      </c>
      <c r="Z15" s="495">
        <f t="shared" si="6"/>
        <v>15404.801662500002</v>
      </c>
      <c r="AA15" s="77">
        <f t="shared" si="7"/>
        <v>50147.545837500002</v>
      </c>
      <c r="AB15" s="507">
        <f>'DATOS REFERENCIALES'!$C$10</f>
        <v>0</v>
      </c>
      <c r="AC15" s="643">
        <f>IF(C15&lt;12,IF(H15&gt;1134,'DATOS REFERENCIALES'!$C$17,IF(('DATOS REFERENCIALES'!$C$17/1135*H15)&lt;'DATOS REFERENCIALES'!$F$17,'DATOS REFERENCIALES'!$F$17,('DATOS REFERENCIALES'!$C$17/1135*H15))),0)</f>
        <v>16597</v>
      </c>
      <c r="AD15" s="549">
        <f>IF((IF(H15&gt;1134,('DATOS REFERENCIALES'!$C$9-(T15-U15-V15-W15-X15-Y15+AB15+AC15-L15-L15*0.235)),(('DATOS REFERENCIALES'!$C$9/1135)*H15)-(K15+N15+O15+P15+Q15+S15-U15-V15-W15-X15-Y15+AB15+AC15-(L15-L15*0.235))))&lt;0,0,IF(H15&gt;1134,(('DATOS REFERENCIALES'!$C$9)-(T15-U15-V15-W15-X15-Y15+AB15+AC15-(L15-L15*0.235))),(('DATOS REFERENCIALES'!$C$9/1135)*H15)-(K15+N15+O15+P15+Q15+S15-U15-V15-W15-X15-Y15+AB15+AC15-(L15-L15*0.235))))</f>
        <v>0</v>
      </c>
      <c r="AE15" s="549">
        <f t="shared" si="8"/>
        <v>66744.545837500002</v>
      </c>
      <c r="AF15" s="77">
        <f>'DATOS REFERENCIALES'!$C$13</f>
        <v>5141</v>
      </c>
      <c r="AG15" s="509" t="e">
        <f>IF($H15&gt;1119,'DATOS REFERENCIALES'!#REF!,'DATOS REFERENCIALES'!#REF!/1120*$H15)</f>
        <v>#REF!</v>
      </c>
      <c r="AH15" s="77">
        <f>'DATOS REFERENCIALES'!$C$16</f>
        <v>2250</v>
      </c>
      <c r="AI15" s="77">
        <f>'DATOS REFERENCIALES'!$C$12</f>
        <v>6699</v>
      </c>
      <c r="AJ15" s="77">
        <f>+AE15+AF15+AH15+AI15</f>
        <v>80834.545837500002</v>
      </c>
      <c r="AK15" s="17"/>
      <c r="AL15" s="17"/>
      <c r="AP15" s="8"/>
    </row>
    <row r="16" spans="1:42" s="1" customFormat="1" ht="21.75" customHeight="1" x14ac:dyDescent="0.25">
      <c r="A16" s="73">
        <v>3535</v>
      </c>
      <c r="B16" s="84" t="s">
        <v>39</v>
      </c>
      <c r="C16" s="23">
        <v>0</v>
      </c>
      <c r="D16" s="23"/>
      <c r="E16" s="23"/>
      <c r="F16" s="23"/>
      <c r="G16" s="51">
        <v>984</v>
      </c>
      <c r="H16" s="34">
        <f t="shared" si="0"/>
        <v>984</v>
      </c>
      <c r="I16" s="34"/>
      <c r="J16" s="34"/>
      <c r="K16" s="88">
        <f>H16*'DATOS REFERENCIALES'!$C$4</f>
        <v>18688.61016</v>
      </c>
      <c r="L16" s="88"/>
      <c r="M16" s="88"/>
      <c r="N16" s="78">
        <f>LOOKUP(C16,'TABLA ANTIG.'!$A$4:$A$39,'TABLA ANTIG.'!$B$4:$B$39)*(K16)</f>
        <v>0</v>
      </c>
      <c r="O16" s="97">
        <f t="shared" si="1"/>
        <v>1868.8610160000001</v>
      </c>
      <c r="P16" s="562">
        <f>IF(H16&gt;1134,'DATOS REFERENCIALES'!$C$8,IF(('DATOS REFERENCIALES'!$C$8/1135*H16)&lt;'DATOS REFERENCIALES'!$F$8,'DATOS REFERENCIALES'!$F$8))</f>
        <v>12239</v>
      </c>
      <c r="Q16" s="127">
        <f>LOOKUP(C16,'TABLA ANTIG.'!$A$4:$A$39,'TABLA ANTIG.'!$B$4:$B$39)*(P16)</f>
        <v>0</v>
      </c>
      <c r="R16" s="97">
        <v>0</v>
      </c>
      <c r="S16" s="583">
        <f>IF(C16&gt;11,IF(H16&gt;1134,'DATOS REFERENCIALES'!$C$18,IF(('DATOS REFERENCIALES'!$C$18/1135*H16)&lt;'DATOS REFERENCIALES'!$F$18,'DATOS REFERENCIALES'!$F$18,'DATOS REFERENCIALES'!$C$18/1135*H16)),0)</f>
        <v>0</v>
      </c>
      <c r="T16" s="155">
        <f t="shared" si="9"/>
        <v>32796.471175999999</v>
      </c>
      <c r="U16" s="27">
        <f t="shared" si="2"/>
        <v>3607.6118293599998</v>
      </c>
      <c r="V16" s="27">
        <f t="shared" si="3"/>
        <v>983.89413527999989</v>
      </c>
      <c r="W16" s="27">
        <f t="shared" si="3"/>
        <v>983.89413527999989</v>
      </c>
      <c r="X16" s="27">
        <f t="shared" si="4"/>
        <v>655.92942352</v>
      </c>
      <c r="Y16" s="27">
        <f t="shared" si="5"/>
        <v>1475.8412029199999</v>
      </c>
      <c r="Z16" s="27">
        <f t="shared" si="6"/>
        <v>7707.1707263599992</v>
      </c>
      <c r="AA16" s="78">
        <f t="shared" si="7"/>
        <v>25089.300449639999</v>
      </c>
      <c r="AB16" s="144">
        <f>'DATOS REFERENCIALES'!$C$10</f>
        <v>0</v>
      </c>
      <c r="AC16" s="584">
        <f>IF(C16&lt;12,IF(H16&gt;1134,'DATOS REFERENCIALES'!$C$17,IF(('DATOS REFERENCIALES'!$C$17/1135*H16)&lt;'DATOS REFERENCIALES'!$F$17,'DATOS REFERENCIALES'!$F$17,('DATOS REFERENCIALES'!$C$17/1135*H16))),0)</f>
        <v>15925</v>
      </c>
      <c r="AD16" s="127">
        <f>IF((IF(H16&gt;1134,('DATOS REFERENCIALES'!$C$9-(T16-U16-V16-W16-X16-Y16+AB16+AC16-L16-L16*0.235)),(('DATOS REFERENCIALES'!$C$9/1135)*H16)-(K16+N16+O16+P16+Q16+S16-U16-V16-W16-X16-Y16+AB16+AC16-(L16-L16*0.235))))&lt;0,0,IF(H16&gt;1134,(('DATOS REFERENCIALES'!$C$9)-(T16-U16-V16-W16-X16-Y16+AB16+AC16-(L16-L16*0.235))),(('DATOS REFERENCIALES'!$C$9/1135)*H16)-(K16+N16+O16+P16+Q16+S16-U16-V16-W16-X16-Y16+AB16+AC16-(L16-L16*0.235))))</f>
        <v>14085.364748597887</v>
      </c>
      <c r="AE16" s="127">
        <f t="shared" si="8"/>
        <v>55099.665198237883</v>
      </c>
      <c r="AF16" s="78">
        <f>'DATOS REFERENCIALES'!$C$13</f>
        <v>5141</v>
      </c>
      <c r="AG16" s="90" t="e">
        <f>IF($H16&gt;1119,'DATOS REFERENCIALES'!#REF!,'DATOS REFERENCIALES'!#REF!/1120*$H16)</f>
        <v>#REF!</v>
      </c>
      <c r="AH16" s="78">
        <f>'DATOS REFERENCIALES'!$C$16</f>
        <v>2250</v>
      </c>
      <c r="AI16" s="78">
        <f>'DATOS REFERENCIALES'!$C$12</f>
        <v>6699</v>
      </c>
      <c r="AJ16" s="104">
        <f t="shared" ref="AJ16:AJ24" si="10">+AE16+AF16+AH16+AI16</f>
        <v>69189.665198237883</v>
      </c>
      <c r="AK16" s="17"/>
      <c r="AL16" s="17"/>
      <c r="AP16" s="8"/>
    </row>
    <row r="17" spans="1:42" s="1" customFormat="1" ht="21.75" customHeight="1" x14ac:dyDescent="0.25">
      <c r="A17" s="73">
        <v>3536</v>
      </c>
      <c r="B17" s="84" t="s">
        <v>40</v>
      </c>
      <c r="C17" s="23">
        <v>0</v>
      </c>
      <c r="D17" s="23"/>
      <c r="E17" s="23"/>
      <c r="F17" s="23"/>
      <c r="G17" s="51">
        <v>810</v>
      </c>
      <c r="H17" s="34">
        <v>825</v>
      </c>
      <c r="I17" s="34"/>
      <c r="J17" s="34"/>
      <c r="K17" s="88">
        <f>H17*'DATOS REFERENCIALES'!$C$4</f>
        <v>15668.804249999999</v>
      </c>
      <c r="L17" s="88"/>
      <c r="M17" s="88"/>
      <c r="N17" s="78">
        <f>LOOKUP(C17,'TABLA ANTIG.'!$A$4:$A$39,'TABLA ANTIG.'!$B$4:$B$39)*(K17)</f>
        <v>0</v>
      </c>
      <c r="O17" s="97">
        <f t="shared" si="1"/>
        <v>1566.8804250000001</v>
      </c>
      <c r="P17" s="562">
        <f>IF(H17&gt;1134,'DATOS REFERENCIALES'!$C$8,IF(('DATOS REFERENCIALES'!$C$8/1135*H17)&lt;'DATOS REFERENCIALES'!$F$8,'DATOS REFERENCIALES'!$F$8))</f>
        <v>12239</v>
      </c>
      <c r="Q17" s="127">
        <f>LOOKUP(C17,'TABLA ANTIG.'!$A$4:$A$39,'TABLA ANTIG.'!$B$4:$B$39)*(P17)</f>
        <v>0</v>
      </c>
      <c r="R17" s="97">
        <v>0</v>
      </c>
      <c r="S17" s="583">
        <f>IF(C17&gt;11,IF(H17&gt;1134,'DATOS REFERENCIALES'!$C$18,IF(('DATOS REFERENCIALES'!$C$18/1135*H17)&lt;'DATOS REFERENCIALES'!$F$18,'DATOS REFERENCIALES'!$F$18,'DATOS REFERENCIALES'!$C$18/1135*H17)),0)</f>
        <v>0</v>
      </c>
      <c r="T17" s="155">
        <f t="shared" si="9"/>
        <v>29474.684675</v>
      </c>
      <c r="U17" s="27">
        <f t="shared" si="2"/>
        <v>3242.2153142500001</v>
      </c>
      <c r="V17" s="27">
        <f t="shared" si="3"/>
        <v>884.24054024999998</v>
      </c>
      <c r="W17" s="27">
        <f t="shared" si="3"/>
        <v>884.24054024999998</v>
      </c>
      <c r="X17" s="27">
        <f t="shared" si="4"/>
        <v>589.49369350000006</v>
      </c>
      <c r="Y17" s="27">
        <f t="shared" si="5"/>
        <v>1326.360810375</v>
      </c>
      <c r="Z17" s="27">
        <f t="shared" si="6"/>
        <v>6926.5508986249997</v>
      </c>
      <c r="AA17" s="78">
        <f t="shared" si="7"/>
        <v>22548.133776375002</v>
      </c>
      <c r="AB17" s="144">
        <f>'DATOS REFERENCIALES'!$C$10</f>
        <v>0</v>
      </c>
      <c r="AC17" s="584">
        <f>IF(C17&lt;12,IF(H17&gt;1134,'DATOS REFERENCIALES'!$C$17,IF(('DATOS REFERENCIALES'!$C$17/1135*H17)&lt;'DATOS REFERENCIALES'!$F$17,'DATOS REFERENCIALES'!$F$17,('DATOS REFERENCIALES'!$C$17/1135*H17))),0)</f>
        <v>15925</v>
      </c>
      <c r="AD17" s="127">
        <f>IF((IF(H17&gt;1134,('DATOS REFERENCIALES'!$C$9-(T17-U17-V17-W17-X17-Y17+AB17+AC17-L17-L17*0.235)),(('DATOS REFERENCIALES'!$C$9/1135)*H17)-(K17+N17+O17+P17+Q17+S17-U17-V17-W17-X17-Y17+AB17+AC17-(L17-L17*0.235))))&lt;0,0,IF(H17&gt;1134,(('DATOS REFERENCIALES'!$C$9)-(T17-U17-V17-W17-X17-Y17+AB17+AC17-(L17-L17*0.235))),(('DATOS REFERENCIALES'!$C$9/1135)*H17)-(K17+N17+O17+P17+Q17+S17-U17-V17-W17-X17-Y17+AB17+AC17-(L17-L17*0.235))))</f>
        <v>7723.2318623915198</v>
      </c>
      <c r="AE17" s="127">
        <f t="shared" si="8"/>
        <v>46196.365638766525</v>
      </c>
      <c r="AF17" s="78">
        <f>'DATOS REFERENCIALES'!$C$13</f>
        <v>5141</v>
      </c>
      <c r="AG17" s="90" t="e">
        <f>IF($H17&gt;1119,'DATOS REFERENCIALES'!#REF!,'DATOS REFERENCIALES'!#REF!/1120*$H17)</f>
        <v>#REF!</v>
      </c>
      <c r="AH17" s="78">
        <f>'DATOS REFERENCIALES'!$C$16</f>
        <v>2250</v>
      </c>
      <c r="AI17" s="78">
        <f>'DATOS REFERENCIALES'!$C$12</f>
        <v>6699</v>
      </c>
      <c r="AJ17" s="104">
        <f t="shared" si="10"/>
        <v>60286.365638766525</v>
      </c>
      <c r="AK17" s="17"/>
      <c r="AL17" s="17"/>
      <c r="AP17" s="8"/>
    </row>
    <row r="18" spans="1:42" s="1" customFormat="1" ht="21.75" customHeight="1" x14ac:dyDescent="0.25">
      <c r="A18" s="73">
        <v>3539</v>
      </c>
      <c r="B18" s="84" t="s">
        <v>41</v>
      </c>
      <c r="C18" s="23">
        <v>0</v>
      </c>
      <c r="D18" s="23"/>
      <c r="E18" s="23"/>
      <c r="F18" s="23"/>
      <c r="G18" s="51">
        <v>1684</v>
      </c>
      <c r="H18" s="34">
        <f t="shared" si="0"/>
        <v>1684</v>
      </c>
      <c r="I18" s="34"/>
      <c r="J18" s="34"/>
      <c r="K18" s="88">
        <f>H18*'DATOS REFERENCIALES'!$C$4</f>
        <v>31983.353159999999</v>
      </c>
      <c r="L18" s="88"/>
      <c r="M18" s="88"/>
      <c r="N18" s="78">
        <f>LOOKUP(C18,'TABLA ANTIG.'!$A$4:$A$39,'TABLA ANTIG.'!$B$4:$B$39)*(K18)</f>
        <v>0</v>
      </c>
      <c r="O18" s="97">
        <f t="shared" si="1"/>
        <v>3198.3353160000001</v>
      </c>
      <c r="P18" s="562">
        <f>IF(H18&gt;1134,'DATOS REFERENCIALES'!$C$8,IF(('DATOS REFERENCIALES'!$C$8/1135*H18)&lt;'DATOS REFERENCIALES'!$F$8,'DATOS REFERENCIALES'!$F$8))</f>
        <v>13323</v>
      </c>
      <c r="Q18" s="127">
        <f>LOOKUP(C18,'TABLA ANTIG.'!$A$4:$A$39,'TABLA ANTIG.'!$B$4:$B$39)*(P18)</f>
        <v>0</v>
      </c>
      <c r="R18" s="97">
        <v>0</v>
      </c>
      <c r="S18" s="583">
        <f>IF(C18&gt;11,IF(H18&gt;1134,'DATOS REFERENCIALES'!$C$18,IF(('DATOS REFERENCIALES'!$C$18/1135*H18)&lt;'DATOS REFERENCIALES'!$F$18,'DATOS REFERENCIALES'!$F$18,'DATOS REFERENCIALES'!$C$18/1135*H18)),0)</f>
        <v>0</v>
      </c>
      <c r="T18" s="155">
        <f t="shared" si="9"/>
        <v>48504.688475999996</v>
      </c>
      <c r="U18" s="27">
        <f t="shared" si="2"/>
        <v>5335.5157323599997</v>
      </c>
      <c r="V18" s="27">
        <f t="shared" si="3"/>
        <v>1455.1406542799998</v>
      </c>
      <c r="W18" s="27">
        <f t="shared" si="3"/>
        <v>1455.1406542799998</v>
      </c>
      <c r="X18" s="27">
        <f t="shared" si="4"/>
        <v>970.09376951999991</v>
      </c>
      <c r="Y18" s="27">
        <f t="shared" si="5"/>
        <v>2182.7109814199998</v>
      </c>
      <c r="Z18" s="27">
        <f t="shared" si="6"/>
        <v>11398.601791859997</v>
      </c>
      <c r="AA18" s="78">
        <f t="shared" si="7"/>
        <v>37106.086684139998</v>
      </c>
      <c r="AB18" s="144">
        <f>'DATOS REFERENCIALES'!$C$10</f>
        <v>0</v>
      </c>
      <c r="AC18" s="584">
        <f>IF(C18&lt;12,IF(H18&gt;1134,'DATOS REFERENCIALES'!$C$17,IF(('DATOS REFERENCIALES'!$C$17/1135*H18)&lt;'DATOS REFERENCIALES'!$F$17,'DATOS REFERENCIALES'!$F$17,('DATOS REFERENCIALES'!$C$17/1135*H18))),0)</f>
        <v>16597</v>
      </c>
      <c r="AD18" s="127">
        <f>IF((IF(H18&gt;1134,('DATOS REFERENCIALES'!$C$9-(T18-U18-V18-W18-X18-Y18+AB18+AC18-L18-L18*0.235)),(('DATOS REFERENCIALES'!$C$9/1135)*H18)-(K18+N18+O18+P18+Q18+S18-U18-V18-W18-X18-Y18+AB18+AC18-(L18-L18*0.235))))&lt;0,0,IF(H18&gt;1134,(('DATOS REFERENCIALES'!$C$9)-(T18-U18-V18-W18-X18-Y18+AB18+AC18-(L18-L18*0.235))),(('DATOS REFERENCIALES'!$C$9/1135)*H18)-(K18+N18+O18+P18+Q18+S18-U18-V18-W18-X18-Y18+AB18+AC18-(L18-L18*0.235))))</f>
        <v>9851.9133158600089</v>
      </c>
      <c r="AE18" s="127">
        <f t="shared" si="8"/>
        <v>63555.000000000007</v>
      </c>
      <c r="AF18" s="78">
        <f>'DATOS REFERENCIALES'!$C$13</f>
        <v>5141</v>
      </c>
      <c r="AG18" s="90" t="e">
        <f>IF($H18&gt;1119,'DATOS REFERENCIALES'!#REF!,'DATOS REFERENCIALES'!#REF!/1120*$H18)</f>
        <v>#REF!</v>
      </c>
      <c r="AH18" s="78">
        <f>'DATOS REFERENCIALES'!$C$16</f>
        <v>2250</v>
      </c>
      <c r="AI18" s="78">
        <f>'DATOS REFERENCIALES'!$C$12</f>
        <v>6699</v>
      </c>
      <c r="AJ18" s="104">
        <f t="shared" si="10"/>
        <v>77645</v>
      </c>
      <c r="AK18" s="17"/>
      <c r="AL18" s="17"/>
      <c r="AP18" s="8"/>
    </row>
    <row r="19" spans="1:42" s="1" customFormat="1" ht="21.75" customHeight="1" x14ac:dyDescent="0.25">
      <c r="A19" s="73">
        <v>3544</v>
      </c>
      <c r="B19" s="84" t="s">
        <v>42</v>
      </c>
      <c r="C19" s="23">
        <v>0</v>
      </c>
      <c r="D19" s="23"/>
      <c r="E19" s="23"/>
      <c r="F19" s="23"/>
      <c r="G19" s="51">
        <v>952</v>
      </c>
      <c r="H19" s="34">
        <f t="shared" si="0"/>
        <v>952</v>
      </c>
      <c r="I19" s="34"/>
      <c r="J19" s="34"/>
      <c r="K19" s="88">
        <f>H19*'DATOS REFERENCIALES'!$C$4</f>
        <v>18080.850480000001</v>
      </c>
      <c r="L19" s="88"/>
      <c r="M19" s="88"/>
      <c r="N19" s="78">
        <f>LOOKUP(C19,'TABLA ANTIG.'!$A$4:$A$39,'TABLA ANTIG.'!$B$4:$B$39)*(K19)</f>
        <v>0</v>
      </c>
      <c r="O19" s="97">
        <f t="shared" si="1"/>
        <v>1808.0850480000001</v>
      </c>
      <c r="P19" s="562">
        <f>IF(H19&gt;1134,'DATOS REFERENCIALES'!$C$8,IF(('DATOS REFERENCIALES'!$C$8/1135*H19)&lt;'DATOS REFERENCIALES'!$F$8,'DATOS REFERENCIALES'!$F$8))</f>
        <v>12239</v>
      </c>
      <c r="Q19" s="127">
        <f>LOOKUP(C19,'TABLA ANTIG.'!$A$4:$A$39,'TABLA ANTIG.'!$B$4:$B$39)*(P19)</f>
        <v>0</v>
      </c>
      <c r="R19" s="97">
        <v>0</v>
      </c>
      <c r="S19" s="583">
        <f>IF(C19&gt;11,IF(H19&gt;1134,'DATOS REFERENCIALES'!$C$18,IF(('DATOS REFERENCIALES'!$C$18/1135*H19)&lt;'DATOS REFERENCIALES'!$F$18,'DATOS REFERENCIALES'!$F$18,'DATOS REFERENCIALES'!$C$18/1135*H19)),0)</f>
        <v>0</v>
      </c>
      <c r="T19" s="155">
        <f t="shared" si="9"/>
        <v>32127.935528000002</v>
      </c>
      <c r="U19" s="27">
        <f t="shared" si="2"/>
        <v>3534.0729080800002</v>
      </c>
      <c r="V19" s="27">
        <f t="shared" si="3"/>
        <v>963.83806584000001</v>
      </c>
      <c r="W19" s="27">
        <f t="shared" si="3"/>
        <v>963.83806584000001</v>
      </c>
      <c r="X19" s="27">
        <f t="shared" si="4"/>
        <v>642.55871056000001</v>
      </c>
      <c r="Y19" s="27">
        <f t="shared" si="5"/>
        <v>1445.75709876</v>
      </c>
      <c r="Z19" s="27">
        <f t="shared" si="6"/>
        <v>7550.0648490800004</v>
      </c>
      <c r="AA19" s="78">
        <f t="shared" si="7"/>
        <v>24577.870678920001</v>
      </c>
      <c r="AB19" s="144">
        <f>'DATOS REFERENCIALES'!$C$10</f>
        <v>0</v>
      </c>
      <c r="AC19" s="584">
        <f>IF(C19&lt;12,IF(H19&gt;1134,'DATOS REFERENCIALES'!$C$17,IF(('DATOS REFERENCIALES'!$C$17/1135*H19)&lt;'DATOS REFERENCIALES'!$F$17,'DATOS REFERENCIALES'!$F$17,('DATOS REFERENCIALES'!$C$17/1135*H19))),0)</f>
        <v>15925</v>
      </c>
      <c r="AD19" s="127">
        <f>IF((IF(H19&gt;1134,('DATOS REFERENCIALES'!$C$9-(T19-U19-V19-W19-X19-Y19+AB19+AC19-L19-L19*0.235)),(('DATOS REFERENCIALES'!$C$9/1135)*H19)-(K19+N19+O19+P19+Q19+S19-U19-V19-W19-X19-Y19+AB19+AC19-(L19-L19*0.235))))&lt;0,0,IF(H19&gt;1134,(('DATOS REFERENCIALES'!$C$9)-(T19-U19-V19-W19-X19-Y19+AB19+AC19-(L19-L19*0.235))),(('DATOS REFERENCIALES'!$C$9/1135)*H19)-(K19+N19+O19+P19+Q19+S19-U19-V19-W19-X19-Y19+AB19+AC19-(L19-L19*0.235))))</f>
        <v>12804.935488480871</v>
      </c>
      <c r="AE19" s="127">
        <f t="shared" si="8"/>
        <v>53307.806167400871</v>
      </c>
      <c r="AF19" s="78">
        <f>'DATOS REFERENCIALES'!$C$13</f>
        <v>5141</v>
      </c>
      <c r="AG19" s="90" t="e">
        <f>IF($H19&gt;1119,'DATOS REFERENCIALES'!#REF!,'DATOS REFERENCIALES'!#REF!/1120*$H19)</f>
        <v>#REF!</v>
      </c>
      <c r="AH19" s="78">
        <f>'DATOS REFERENCIALES'!$C$16</f>
        <v>2250</v>
      </c>
      <c r="AI19" s="78">
        <f>'DATOS REFERENCIALES'!$C$12</f>
        <v>6699</v>
      </c>
      <c r="AJ19" s="104">
        <f t="shared" si="10"/>
        <v>67397.806167400879</v>
      </c>
      <c r="AK19" s="17"/>
      <c r="AL19" s="17"/>
      <c r="AP19" s="8"/>
    </row>
    <row r="20" spans="1:42" s="1" customFormat="1" ht="21.75" customHeight="1" x14ac:dyDescent="0.25">
      <c r="A20" s="73">
        <v>3549</v>
      </c>
      <c r="B20" s="84" t="s">
        <v>27</v>
      </c>
      <c r="C20" s="23">
        <v>0</v>
      </c>
      <c r="D20" s="23"/>
      <c r="E20" s="23"/>
      <c r="F20" s="23"/>
      <c r="G20" s="51">
        <v>1120</v>
      </c>
      <c r="H20" s="513">
        <v>1135</v>
      </c>
      <c r="I20" s="34"/>
      <c r="J20" s="34"/>
      <c r="K20" s="88">
        <f>H20*'DATOS REFERENCIALES'!$C$4</f>
        <v>21556.476149999999</v>
      </c>
      <c r="L20" s="88"/>
      <c r="M20" s="88"/>
      <c r="N20" s="78">
        <f>LOOKUP(C20,'TABLA ANTIG.'!$A$4:$A$39,'TABLA ANTIG.'!$B$4:$B$39)*(K20)</f>
        <v>0</v>
      </c>
      <c r="O20" s="97">
        <f t="shared" si="1"/>
        <v>2155.6476149999999</v>
      </c>
      <c r="P20" s="562">
        <f>IF(H20&gt;1134,'DATOS REFERENCIALES'!$C$8,IF(('DATOS REFERENCIALES'!$C$8/1135*H20)&lt;'DATOS REFERENCIALES'!$F$8,'DATOS REFERENCIALES'!$F$8))</f>
        <v>13323</v>
      </c>
      <c r="Q20" s="127">
        <f>LOOKUP(C20,'TABLA ANTIG.'!$A$4:$A$39,'TABLA ANTIG.'!$B$4:$B$39)*(P20)</f>
        <v>0</v>
      </c>
      <c r="R20" s="97">
        <v>0</v>
      </c>
      <c r="S20" s="583">
        <f>IF(C20&gt;11,IF(H20&gt;1134,'DATOS REFERENCIALES'!$C$18,IF(('DATOS REFERENCIALES'!$C$18/1135*H20)&lt;'DATOS REFERENCIALES'!$F$18,'DATOS REFERENCIALES'!$F$18,'DATOS REFERENCIALES'!$C$18/1135*H20)),0)</f>
        <v>0</v>
      </c>
      <c r="T20" s="155">
        <f t="shared" si="9"/>
        <v>37035.123764999997</v>
      </c>
      <c r="U20" s="27">
        <f t="shared" si="2"/>
        <v>4073.8636141499996</v>
      </c>
      <c r="V20" s="27">
        <f t="shared" si="3"/>
        <v>1111.0537129499999</v>
      </c>
      <c r="W20" s="27">
        <f t="shared" si="3"/>
        <v>1111.0537129499999</v>
      </c>
      <c r="X20" s="27">
        <f t="shared" si="4"/>
        <v>740.70247529999995</v>
      </c>
      <c r="Y20" s="27">
        <f t="shared" si="5"/>
        <v>1666.5805694249998</v>
      </c>
      <c r="Z20" s="27">
        <f t="shared" si="6"/>
        <v>8703.2540847749988</v>
      </c>
      <c r="AA20" s="78">
        <f t="shared" si="7"/>
        <v>28331.869680224998</v>
      </c>
      <c r="AB20" s="144">
        <f>'DATOS REFERENCIALES'!$C$10</f>
        <v>0</v>
      </c>
      <c r="AC20" s="584">
        <f>IF(C20&lt;12,IF(H20&gt;1134,'DATOS REFERENCIALES'!$C$17,IF(('DATOS REFERENCIALES'!$C$17/1135*H20)&lt;'DATOS REFERENCIALES'!$F$17,'DATOS REFERENCIALES'!$F$17,('DATOS REFERENCIALES'!$C$17/1135*H20))),0)</f>
        <v>16597</v>
      </c>
      <c r="AD20" s="127">
        <f>IF((IF(H20&gt;1134,('DATOS REFERENCIALES'!$C$9-(T20-U20-V20-W20-X20-Y20+AB20+AC20-L20-L20*0.235)),(('DATOS REFERENCIALES'!$C$9/1135)*H20)-(K20+N20+O20+P20+Q20+S20-U20-V20-W20-X20-Y20+AB20+AC20-(L20-L20*0.235))))&lt;0,0,IF(H20&gt;1134,(('DATOS REFERENCIALES'!$C$9)-(T20-U20-V20-W20-X20-Y20+AB20+AC20-(L20-L20*0.235))),(('DATOS REFERENCIALES'!$C$9/1135)*H20)-(K20+N20+O20+P20+Q20+S20-U20-V20-W20-X20-Y20+AB20+AC20-(L20-L20*0.235))))</f>
        <v>18626.130319775009</v>
      </c>
      <c r="AE20" s="127">
        <f t="shared" si="8"/>
        <v>63555.000000000007</v>
      </c>
      <c r="AF20" s="78">
        <f>'DATOS REFERENCIALES'!$C$13</f>
        <v>5141</v>
      </c>
      <c r="AG20" s="90" t="e">
        <f>IF($H20&gt;1119,'DATOS REFERENCIALES'!#REF!,'DATOS REFERENCIALES'!#REF!/1120*$H20)</f>
        <v>#REF!</v>
      </c>
      <c r="AH20" s="78">
        <f>'DATOS REFERENCIALES'!$C$16</f>
        <v>2250</v>
      </c>
      <c r="AI20" s="78">
        <f>'DATOS REFERENCIALES'!$C$12</f>
        <v>6699</v>
      </c>
      <c r="AJ20" s="104">
        <f t="shared" si="10"/>
        <v>77645</v>
      </c>
      <c r="AK20" s="17"/>
      <c r="AL20" s="17"/>
      <c r="AP20" s="8"/>
    </row>
    <row r="21" spans="1:42" s="1" customFormat="1" ht="21.75" customHeight="1" x14ac:dyDescent="0.25">
      <c r="A21" s="73">
        <v>3554</v>
      </c>
      <c r="B21" s="84" t="s">
        <v>30</v>
      </c>
      <c r="C21" s="23">
        <v>0</v>
      </c>
      <c r="D21" s="23"/>
      <c r="E21" s="23"/>
      <c r="F21" s="23"/>
      <c r="G21" s="51">
        <v>810</v>
      </c>
      <c r="H21" s="34">
        <v>825</v>
      </c>
      <c r="I21" s="34"/>
      <c r="J21" s="34"/>
      <c r="K21" s="88">
        <f>H21*'DATOS REFERENCIALES'!$C$4</f>
        <v>15668.804249999999</v>
      </c>
      <c r="L21" s="88"/>
      <c r="M21" s="88"/>
      <c r="N21" s="78">
        <f>LOOKUP(C21,'TABLA ANTIG.'!$A$4:$A$39,'TABLA ANTIG.'!$B$4:$B$39)*(K21)</f>
        <v>0</v>
      </c>
      <c r="O21" s="97">
        <f t="shared" si="1"/>
        <v>1566.8804250000001</v>
      </c>
      <c r="P21" s="562">
        <f>IF(H21&gt;1134,'DATOS REFERENCIALES'!$C$8,IF(('DATOS REFERENCIALES'!$C$8/1135*H21)&lt;'DATOS REFERENCIALES'!$F$8,'DATOS REFERENCIALES'!$F$8))</f>
        <v>12239</v>
      </c>
      <c r="Q21" s="127">
        <f>LOOKUP(C21,'TABLA ANTIG.'!$A$4:$A$39,'TABLA ANTIG.'!$B$4:$B$39)*(P21)</f>
        <v>0</v>
      </c>
      <c r="R21" s="97">
        <v>0</v>
      </c>
      <c r="S21" s="583">
        <f>IF(C21&gt;11,IF(H21&gt;1134,'DATOS REFERENCIALES'!$C$18,IF(('DATOS REFERENCIALES'!$C$18/1135*H21)&lt;'DATOS REFERENCIALES'!$F$18,'DATOS REFERENCIALES'!$F$18,'DATOS REFERENCIALES'!$C$18/1135*H21)),0)</f>
        <v>0</v>
      </c>
      <c r="T21" s="155">
        <f t="shared" si="9"/>
        <v>29474.684675</v>
      </c>
      <c r="U21" s="27">
        <f t="shared" si="2"/>
        <v>3242.2153142500001</v>
      </c>
      <c r="V21" s="27">
        <f t="shared" si="3"/>
        <v>884.24054024999998</v>
      </c>
      <c r="W21" s="27">
        <f t="shared" si="3"/>
        <v>884.24054024999998</v>
      </c>
      <c r="X21" s="27">
        <f t="shared" si="4"/>
        <v>589.49369350000006</v>
      </c>
      <c r="Y21" s="27">
        <f t="shared" si="5"/>
        <v>1326.360810375</v>
      </c>
      <c r="Z21" s="27">
        <f t="shared" si="6"/>
        <v>6926.5508986249997</v>
      </c>
      <c r="AA21" s="78">
        <f t="shared" si="7"/>
        <v>22548.133776375002</v>
      </c>
      <c r="AB21" s="144">
        <f>'DATOS REFERENCIALES'!$C$10</f>
        <v>0</v>
      </c>
      <c r="AC21" s="584">
        <f>IF(C21&lt;12,IF(H21&gt;1134,'DATOS REFERENCIALES'!$C$17,IF(('DATOS REFERENCIALES'!$C$17/1135*H21)&lt;'DATOS REFERENCIALES'!$F$17,'DATOS REFERENCIALES'!$F$17,('DATOS REFERENCIALES'!$C$17/1135*H21))),0)</f>
        <v>15925</v>
      </c>
      <c r="AD21" s="127">
        <f>IF((IF(H21&gt;1134,('DATOS REFERENCIALES'!$C$9-(T21-U21-V21-W21-X21-Y21+AB21+AC21-L21-L21*0.235)),(('DATOS REFERENCIALES'!$C$9/1135)*H21)-(K21+N21+O21+P21+Q21+S21-U21-V21-W21-X21-Y21+AB21+AC21-(L21-L21*0.235))))&lt;0,0,IF(H21&gt;1134,(('DATOS REFERENCIALES'!$C$9)-(T21-U21-V21-W21-X21-Y21+AB21+AC21-(L21-L21*0.235))),(('DATOS REFERENCIALES'!$C$9/1135)*H21)-(K21+N21+O21+P21+Q21+S21-U21-V21-W21-X21-Y21+AB21+AC21-(L21-L21*0.235))))</f>
        <v>7723.2318623915198</v>
      </c>
      <c r="AE21" s="127">
        <f t="shared" si="8"/>
        <v>46196.365638766525</v>
      </c>
      <c r="AF21" s="78">
        <f>'DATOS REFERENCIALES'!$C$13</f>
        <v>5141</v>
      </c>
      <c r="AG21" s="90" t="e">
        <f>IF($H21&gt;1119,'DATOS REFERENCIALES'!#REF!,'DATOS REFERENCIALES'!#REF!/1120*$H21)</f>
        <v>#REF!</v>
      </c>
      <c r="AH21" s="78">
        <f>'DATOS REFERENCIALES'!$C$16</f>
        <v>2250</v>
      </c>
      <c r="AI21" s="78">
        <f>'DATOS REFERENCIALES'!$C$12</f>
        <v>6699</v>
      </c>
      <c r="AJ21" s="104">
        <f t="shared" si="10"/>
        <v>60286.365638766525</v>
      </c>
      <c r="AK21" s="17"/>
      <c r="AL21" s="17"/>
      <c r="AP21" s="8"/>
    </row>
    <row r="22" spans="1:42" s="1" customFormat="1" ht="21.75" customHeight="1" x14ac:dyDescent="0.25">
      <c r="A22" s="73">
        <v>3565</v>
      </c>
      <c r="B22" s="84" t="s">
        <v>44</v>
      </c>
      <c r="C22" s="23">
        <v>0</v>
      </c>
      <c r="D22" s="23"/>
      <c r="E22" s="23"/>
      <c r="F22" s="23"/>
      <c r="G22" s="51">
        <v>810</v>
      </c>
      <c r="H22" s="34">
        <v>825</v>
      </c>
      <c r="I22" s="34"/>
      <c r="J22" s="34"/>
      <c r="K22" s="88">
        <f>H22*'DATOS REFERENCIALES'!$C$4</f>
        <v>15668.804249999999</v>
      </c>
      <c r="L22" s="88"/>
      <c r="M22" s="88"/>
      <c r="N22" s="78">
        <f>LOOKUP(C22,'TABLA ANTIG.'!$A$4:$A$39,'TABLA ANTIG.'!$B$4:$B$39)*(K22)</f>
        <v>0</v>
      </c>
      <c r="O22" s="97">
        <f t="shared" si="1"/>
        <v>1566.8804250000001</v>
      </c>
      <c r="P22" s="591">
        <f>IF(H22&gt;1134,'DATOS REFERENCIALES'!$C$8,IF(('DATOS REFERENCIALES'!$C$8/1135*H22)&lt;'DATOS REFERENCIALES'!$F$8,'DATOS REFERENCIALES'!$F$8))</f>
        <v>12239</v>
      </c>
      <c r="Q22" s="127">
        <f>LOOKUP(C22,'TABLA ANTIG.'!$A$4:$A$39,'TABLA ANTIG.'!$B$4:$B$39)*(P22)</f>
        <v>0</v>
      </c>
      <c r="R22" s="97">
        <v>0</v>
      </c>
      <c r="S22" s="583">
        <f>IF(C22&gt;11,IF(H22&gt;1134,'DATOS REFERENCIALES'!$C$18,IF(('DATOS REFERENCIALES'!$C$18/1135*H22)&lt;'DATOS REFERENCIALES'!$F$18,'DATOS REFERENCIALES'!$F$18,'DATOS REFERENCIALES'!$C$18/1135*H22)),0)</f>
        <v>0</v>
      </c>
      <c r="T22" s="155">
        <f t="shared" si="9"/>
        <v>29474.684675</v>
      </c>
      <c r="U22" s="27">
        <f t="shared" si="2"/>
        <v>3242.2153142500001</v>
      </c>
      <c r="V22" s="27">
        <f t="shared" si="3"/>
        <v>884.24054024999998</v>
      </c>
      <c r="W22" s="27">
        <f t="shared" si="3"/>
        <v>884.24054024999998</v>
      </c>
      <c r="X22" s="27">
        <f t="shared" si="4"/>
        <v>589.49369350000006</v>
      </c>
      <c r="Y22" s="27">
        <f t="shared" si="5"/>
        <v>1326.360810375</v>
      </c>
      <c r="Z22" s="27">
        <f t="shared" si="6"/>
        <v>6926.5508986249997</v>
      </c>
      <c r="AA22" s="78">
        <f t="shared" si="7"/>
        <v>22548.133776375002</v>
      </c>
      <c r="AB22" s="144">
        <f>'DATOS REFERENCIALES'!$C$10</f>
        <v>0</v>
      </c>
      <c r="AC22" s="584">
        <f>IF(C22&lt;12,IF(H22&gt;1134,'DATOS REFERENCIALES'!$C$17,IF(('DATOS REFERENCIALES'!$C$17/1135*H22)&lt;'DATOS REFERENCIALES'!$F$17,'DATOS REFERENCIALES'!$F$17,('DATOS REFERENCIALES'!$C$17/1135*H22))),0)</f>
        <v>15925</v>
      </c>
      <c r="AD22" s="127">
        <f>IF((IF(H22&gt;1134,('DATOS REFERENCIALES'!$C$9-(T22-U22-V22-W22-X22-Y22+AB22+AC22-L22-L22*0.235)),(('DATOS REFERENCIALES'!$C$9/1135)*H22)-(K22+N22+O22+P22+Q22+S22-U22-V22-W22-X22-Y22+AB22+AC22-(L22-L22*0.235))))&lt;0,0,IF(H22&gt;1134,(('DATOS REFERENCIALES'!$C$9)-(T22-U22-V22-W22-X22-Y22+AB22+AC22-(L22-L22*0.235))),(('DATOS REFERENCIALES'!$C$9/1135)*H22)-(K22+N22+O22+P22+Q22+S22-U22-V22-W22-X22-Y22+AB22+AC22-(L22-L22*0.235))))</f>
        <v>7723.2318623915198</v>
      </c>
      <c r="AE22" s="127">
        <f t="shared" si="8"/>
        <v>46196.365638766525</v>
      </c>
      <c r="AF22" s="78">
        <f>'DATOS REFERENCIALES'!$C$13</f>
        <v>5141</v>
      </c>
      <c r="AG22" s="90" t="e">
        <f>IF($H22&gt;1119,'DATOS REFERENCIALES'!#REF!,'DATOS REFERENCIALES'!#REF!/1120*$H22)</f>
        <v>#REF!</v>
      </c>
      <c r="AH22" s="78">
        <f>'DATOS REFERENCIALES'!$C$16</f>
        <v>2250</v>
      </c>
      <c r="AI22" s="78">
        <f>'DATOS REFERENCIALES'!$C$12</f>
        <v>6699</v>
      </c>
      <c r="AJ22" s="104">
        <f t="shared" si="10"/>
        <v>60286.365638766525</v>
      </c>
      <c r="AK22" s="17"/>
      <c r="AL22" s="17"/>
      <c r="AP22" s="8"/>
    </row>
    <row r="23" spans="1:42" s="1" customFormat="1" ht="21.75" customHeight="1" x14ac:dyDescent="0.25">
      <c r="A23" s="73">
        <v>3598</v>
      </c>
      <c r="B23" s="84" t="s">
        <v>43</v>
      </c>
      <c r="C23" s="23">
        <v>0</v>
      </c>
      <c r="D23" s="34">
        <v>1</v>
      </c>
      <c r="E23" s="23"/>
      <c r="F23" s="23"/>
      <c r="G23" s="51">
        <v>65</v>
      </c>
      <c r="H23" s="34">
        <f t="shared" si="0"/>
        <v>65</v>
      </c>
      <c r="I23" s="34"/>
      <c r="J23" s="34"/>
      <c r="K23" s="88">
        <f>(H23*'DATOS REFERENCIALES'!$C$4)*D23</f>
        <v>1234.5118500000001</v>
      </c>
      <c r="L23" s="88"/>
      <c r="M23" s="88"/>
      <c r="N23" s="78">
        <f>LOOKUP(C23,'TABLA ANTIG.'!$A$4:$A$39,'TABLA ANTIG.'!$B$4:$B$39)*(K23)</f>
        <v>0</v>
      </c>
      <c r="O23" s="97">
        <f t="shared" si="1"/>
        <v>123.45118500000001</v>
      </c>
      <c r="P23" s="652">
        <f>IF(D23&gt;38,'DATOS REFERENCIALES'!$D$8,'DATOS REFERENCIALES'!$E$8*D23)</f>
        <v>701.21052631578948</v>
      </c>
      <c r="Q23" s="127">
        <f>LOOKUP(C23,'TABLA ANTIG.'!$A$4:$A$39,'TABLA ANTIG.'!$B$4:$B$39)*(P23)</f>
        <v>0</v>
      </c>
      <c r="R23" s="97">
        <v>0</v>
      </c>
      <c r="S23" s="499">
        <f>IF(C23&gt;11,IF(D23&gt;'DATOS REFERENCIALES'!$J$18,'DATOS REFERENCIALES'!$D$18,'DATOS REFERENCIALES'!$D$18/'DATOS REFERENCIALES'!$J$18*D23),0)</f>
        <v>0</v>
      </c>
      <c r="T23" s="155">
        <f t="shared" si="9"/>
        <v>2059.1735613157898</v>
      </c>
      <c r="U23" s="27">
        <f t="shared" si="2"/>
        <v>226.50909174473688</v>
      </c>
      <c r="V23" s="27">
        <f t="shared" si="3"/>
        <v>61.77520683947369</v>
      </c>
      <c r="W23" s="27">
        <f t="shared" si="3"/>
        <v>61.77520683947369</v>
      </c>
      <c r="X23" s="27">
        <f t="shared" si="4"/>
        <v>41.183471226315795</v>
      </c>
      <c r="Y23" s="27">
        <f t="shared" si="5"/>
        <v>92.662810259210545</v>
      </c>
      <c r="Z23" s="27">
        <f t="shared" si="6"/>
        <v>483.90578690921063</v>
      </c>
      <c r="AA23" s="78">
        <f t="shared" si="7"/>
        <v>1575.2677744065791</v>
      </c>
      <c r="AB23" s="144">
        <f>IF(D23&gt;38,'DATOS REFERENCIALES'!$D$10,'DATOS REFERENCIALES'!$E$10*D23)</f>
        <v>0</v>
      </c>
      <c r="AC23" s="673">
        <f>IF(C23&lt;12,IF(D23&gt;'DATOS REFERENCIALES'!$J$17,'DATOS REFERENCIALES'!$D$17,('DATOS REFERENCIALES'!$E$17*D23)),0)</f>
        <v>873.52631578947364</v>
      </c>
      <c r="AD23" s="78">
        <f>IF(D23&gt;41,IF((('DATOS REFERENCIALES'!$D$9)-((T23)-(Z23)+(AB23)+(AC23)))&lt;0,0,((('DATOS REFERENCIALES'!$D$9)-((T23)-(Z23)+(AB23)+(AC23))))),IF((('DATOS REFERENCIALES'!$E$9*D23)-(((T23)-(Z23)+(AB23)+(AC23))))&lt;0,0,('DATOS REFERENCIALES'!$E$9*D23)-((T23)-(Z23)+(AB23)+(AC23))))</f>
        <v>728.95590980394718</v>
      </c>
      <c r="AE23" s="127">
        <f t="shared" si="8"/>
        <v>3177.75</v>
      </c>
      <c r="AF23" s="687">
        <f>IF(D23&gt;24,'DATOS REFERENCIALES'!$D$13,('DATOS REFERENCIALES'!$H$13*D23))</f>
        <v>428.41666666666669</v>
      </c>
      <c r="AG23" s="687" t="e">
        <f>IF(D23&gt;'DATOS REFERENCIALES'!#REF!,'DATOS REFERENCIALES'!#REF!,('DATOS REFERENCIALES'!#REF!*D23))</f>
        <v>#REF!</v>
      </c>
      <c r="AH23" s="687">
        <f>IF(D23&gt;24,'DATOS REFERENCIALES'!$D$16,('DATOS REFERENCIALES'!$H$16*D23))</f>
        <v>187.5</v>
      </c>
      <c r="AI23" s="687">
        <f>IF(D23&gt;24,'DATOS REFERENCIALES'!$D$12,('DATOS REFERENCIALES'!$H$12*D23))</f>
        <v>558.25</v>
      </c>
      <c r="AJ23" s="104">
        <f t="shared" si="10"/>
        <v>4351.9166666666661</v>
      </c>
      <c r="AK23" s="17"/>
      <c r="AL23" s="17"/>
      <c r="AP23" s="8"/>
    </row>
    <row r="24" spans="1:42" s="1" customFormat="1" ht="21.75" customHeight="1" thickBot="1" x14ac:dyDescent="0.3">
      <c r="A24" s="74">
        <v>3598</v>
      </c>
      <c r="B24" s="85" t="s">
        <v>100</v>
      </c>
      <c r="C24" s="24">
        <v>0</v>
      </c>
      <c r="D24" s="56">
        <v>1</v>
      </c>
      <c r="E24" s="24"/>
      <c r="F24" s="24"/>
      <c r="G24" s="52">
        <v>65</v>
      </c>
      <c r="H24" s="56">
        <f t="shared" si="0"/>
        <v>65</v>
      </c>
      <c r="I24" s="56"/>
      <c r="J24" s="56"/>
      <c r="K24" s="89">
        <f>(H24*'DATOS REFERENCIALES'!$C$4)*D24</f>
        <v>1234.5118500000001</v>
      </c>
      <c r="L24" s="89"/>
      <c r="M24" s="89"/>
      <c r="N24" s="79">
        <f>LOOKUP(C24,'TABLA ANTIG.'!$A$4:$A$39,'TABLA ANTIG.'!$B$4:$B$39)*(K24)</f>
        <v>0</v>
      </c>
      <c r="O24" s="98">
        <f t="shared" si="1"/>
        <v>123.45118500000001</v>
      </c>
      <c r="P24" s="653">
        <f>IF(D24&gt;38,'DATOS REFERENCIALES'!$D$8,'DATOS REFERENCIALES'!$E$8*D24)</f>
        <v>701.21052631578948</v>
      </c>
      <c r="Q24" s="128">
        <f>LOOKUP(C24,'TABLA ANTIG.'!$A$4:$A$39,'TABLA ANTIG.'!$B$4:$B$39)*(P24)</f>
        <v>0</v>
      </c>
      <c r="R24" s="98">
        <v>0</v>
      </c>
      <c r="S24" s="504">
        <f>IF(C24&gt;11,IF(D24&gt;'DATOS REFERENCIALES'!$J$18,'DATOS REFERENCIALES'!$D$18,'DATOS REFERENCIALES'!$D$18/'DATOS REFERENCIALES'!$J$18*D24),0)</f>
        <v>0</v>
      </c>
      <c r="T24" s="197">
        <f t="shared" si="9"/>
        <v>2059.1735613157898</v>
      </c>
      <c r="U24" s="28">
        <f t="shared" si="2"/>
        <v>226.50909174473688</v>
      </c>
      <c r="V24" s="28">
        <f t="shared" si="3"/>
        <v>61.77520683947369</v>
      </c>
      <c r="W24" s="28">
        <f t="shared" si="3"/>
        <v>61.77520683947369</v>
      </c>
      <c r="X24" s="28">
        <f t="shared" si="4"/>
        <v>41.183471226315795</v>
      </c>
      <c r="Y24" s="28">
        <f t="shared" si="5"/>
        <v>92.662810259210545</v>
      </c>
      <c r="Z24" s="28">
        <f t="shared" si="6"/>
        <v>483.90578690921063</v>
      </c>
      <c r="AA24" s="79">
        <f t="shared" si="7"/>
        <v>1575.2677744065791</v>
      </c>
      <c r="AB24" s="147">
        <f>IF(D24&gt;38,'DATOS REFERENCIALES'!$D$10,'DATOS REFERENCIALES'!$E$10*D24)</f>
        <v>0</v>
      </c>
      <c r="AC24" s="585">
        <f>IF(C24&lt;12,IF(D24&gt;'DATOS REFERENCIALES'!$J$17,'DATOS REFERENCIALES'!$D$17,('DATOS REFERENCIALES'!$E$17*D24)),0)</f>
        <v>873.52631578947364</v>
      </c>
      <c r="AD24" s="79">
        <f>IF(D24&gt;41,IF((('DATOS REFERENCIALES'!$D$9)-((T24)-(Z24)+(AB24)+(AC24)))&lt;0,0,((('DATOS REFERENCIALES'!$D$9)-((T24)-(Z24)+(AB24)+(AC24))))),IF((('DATOS REFERENCIALES'!$E$9*D24)-(((T24)-(Z24)+(AB24)+(AC24))))&lt;0,0,('DATOS REFERENCIALES'!$E$9*D24)-((T24)-(Z24)+(AB24)+(AC24))))</f>
        <v>728.95590980394718</v>
      </c>
      <c r="AE24" s="128">
        <f t="shared" si="8"/>
        <v>3177.75</v>
      </c>
      <c r="AF24" s="688">
        <f>IF(D24&gt;24,'DATOS REFERENCIALES'!$D$13,('DATOS REFERENCIALES'!$H$13*D24))</f>
        <v>428.41666666666669</v>
      </c>
      <c r="AG24" s="688" t="e">
        <f>IF(D24&gt;'DATOS REFERENCIALES'!#REF!,'DATOS REFERENCIALES'!#REF!,('DATOS REFERENCIALES'!#REF!*D24))</f>
        <v>#REF!</v>
      </c>
      <c r="AH24" s="688">
        <f>IF(D24&gt;24,'DATOS REFERENCIALES'!$D$16,('DATOS REFERENCIALES'!$H$16*D24))</f>
        <v>187.5</v>
      </c>
      <c r="AI24" s="688">
        <f>IF(D24&gt;24,'DATOS REFERENCIALES'!$D$12,('DATOS REFERENCIALES'!$H$12*D24))</f>
        <v>558.25</v>
      </c>
      <c r="AJ24" s="145">
        <f t="shared" si="10"/>
        <v>4351.9166666666661</v>
      </c>
      <c r="AK24" s="17"/>
      <c r="AL24" s="17"/>
      <c r="AP24" s="8"/>
    </row>
    <row r="25" spans="1:42" s="1" customFormat="1" ht="21.75" customHeight="1" thickBot="1" x14ac:dyDescent="0.3">
      <c r="A25" s="124"/>
      <c r="B25" s="70"/>
      <c r="C25" s="71"/>
      <c r="D25" s="71"/>
      <c r="E25" s="71"/>
      <c r="F25" s="71"/>
      <c r="G25" s="66"/>
      <c r="H25" s="43"/>
      <c r="I25" s="43"/>
      <c r="J25" s="43"/>
      <c r="K25" s="40"/>
      <c r="L25" s="40"/>
      <c r="M25" s="40"/>
      <c r="N25" s="41"/>
      <c r="O25" s="72"/>
      <c r="P25" s="40"/>
      <c r="Q25" s="41"/>
      <c r="R25" s="72"/>
      <c r="S25" s="72"/>
      <c r="T25" s="72"/>
      <c r="U25" s="72"/>
      <c r="V25" s="72"/>
      <c r="W25" s="72"/>
      <c r="X25" s="72"/>
      <c r="Y25" s="72"/>
      <c r="Z25" s="72"/>
      <c r="AA25" s="44"/>
      <c r="AB25" s="44"/>
      <c r="AC25" s="44"/>
      <c r="AD25" s="44"/>
      <c r="AE25" s="44"/>
      <c r="AF25" s="46"/>
      <c r="AG25" s="46"/>
      <c r="AH25" s="46"/>
      <c r="AI25" s="44"/>
      <c r="AJ25" s="44"/>
      <c r="AK25" s="17"/>
      <c r="AL25" s="17"/>
      <c r="AP25" s="8"/>
    </row>
    <row r="26" spans="1:42" s="1" customFormat="1" ht="21" thickBot="1" x14ac:dyDescent="0.4">
      <c r="A26" s="93" t="s">
        <v>134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3" t="s">
        <v>134</v>
      </c>
      <c r="AF26" s="94"/>
      <c r="AG26" s="94"/>
      <c r="AH26" s="94"/>
      <c r="AI26" s="94"/>
      <c r="AJ26" s="94"/>
      <c r="AK26" s="17"/>
      <c r="AL26" s="17"/>
    </row>
    <row r="27" spans="1:42" s="2" customFormat="1" ht="12.75" customHeight="1" thickBot="1" x14ac:dyDescent="0.3">
      <c r="A27" s="771" t="s">
        <v>1</v>
      </c>
      <c r="B27" s="771" t="s">
        <v>0</v>
      </c>
      <c r="C27" s="732" t="s">
        <v>77</v>
      </c>
      <c r="D27" s="732" t="s">
        <v>117</v>
      </c>
      <c r="E27" s="732" t="s">
        <v>125</v>
      </c>
      <c r="F27" s="732" t="s">
        <v>111</v>
      </c>
      <c r="G27" s="732" t="s">
        <v>102</v>
      </c>
      <c r="H27" s="732" t="s">
        <v>79</v>
      </c>
      <c r="I27" s="732" t="s">
        <v>143</v>
      </c>
      <c r="J27" s="726" t="s">
        <v>142</v>
      </c>
      <c r="K27" s="736" t="s">
        <v>119</v>
      </c>
      <c r="L27" s="736" t="s">
        <v>141</v>
      </c>
      <c r="M27" s="736" t="s">
        <v>142</v>
      </c>
      <c r="N27" s="734" t="s">
        <v>85</v>
      </c>
      <c r="O27" s="734" t="s">
        <v>118</v>
      </c>
      <c r="P27" s="736" t="s">
        <v>86</v>
      </c>
      <c r="Q27" s="734" t="s">
        <v>101</v>
      </c>
      <c r="R27" s="734" t="s">
        <v>84</v>
      </c>
      <c r="S27" s="736" t="s">
        <v>198</v>
      </c>
      <c r="T27" s="734" t="s">
        <v>69</v>
      </c>
      <c r="U27" s="780" t="s">
        <v>59</v>
      </c>
      <c r="V27" s="781"/>
      <c r="W27" s="781"/>
      <c r="X27" s="781"/>
      <c r="Y27" s="781"/>
      <c r="Z27" s="757" t="s">
        <v>68</v>
      </c>
      <c r="AA27" s="732" t="s">
        <v>89</v>
      </c>
      <c r="AB27" s="732" t="s">
        <v>88</v>
      </c>
      <c r="AC27" s="736" t="s">
        <v>199</v>
      </c>
      <c r="AD27" s="732" t="s">
        <v>87</v>
      </c>
      <c r="AE27" s="732" t="s">
        <v>91</v>
      </c>
      <c r="AF27" s="732" t="s">
        <v>90</v>
      </c>
      <c r="AG27" s="732" t="s">
        <v>169</v>
      </c>
      <c r="AH27" s="736" t="s">
        <v>197</v>
      </c>
      <c r="AI27" s="736" t="s">
        <v>195</v>
      </c>
      <c r="AJ27" s="732" t="s">
        <v>92</v>
      </c>
      <c r="AK27" s="17"/>
      <c r="AL27" s="17"/>
    </row>
    <row r="28" spans="1:42" s="2" customFormat="1" ht="89.25" customHeight="1" thickBot="1" x14ac:dyDescent="0.3">
      <c r="A28" s="772"/>
      <c r="B28" s="772"/>
      <c r="C28" s="733"/>
      <c r="D28" s="733"/>
      <c r="E28" s="733"/>
      <c r="F28" s="733"/>
      <c r="G28" s="733"/>
      <c r="H28" s="733"/>
      <c r="I28" s="733"/>
      <c r="J28" s="727"/>
      <c r="K28" s="737"/>
      <c r="L28" s="737"/>
      <c r="M28" s="737"/>
      <c r="N28" s="735"/>
      <c r="O28" s="735"/>
      <c r="P28" s="737"/>
      <c r="Q28" s="735"/>
      <c r="R28" s="735"/>
      <c r="S28" s="737"/>
      <c r="T28" s="735"/>
      <c r="U28" s="76" t="s">
        <v>138</v>
      </c>
      <c r="V28" s="102" t="s">
        <v>61</v>
      </c>
      <c r="W28" s="102" t="s">
        <v>62</v>
      </c>
      <c r="X28" s="102" t="s">
        <v>63</v>
      </c>
      <c r="Y28" s="102" t="s">
        <v>64</v>
      </c>
      <c r="Z28" s="779"/>
      <c r="AA28" s="733"/>
      <c r="AB28" s="733"/>
      <c r="AC28" s="737"/>
      <c r="AD28" s="756"/>
      <c r="AE28" s="733"/>
      <c r="AF28" s="733"/>
      <c r="AG28" s="733"/>
      <c r="AH28" s="737"/>
      <c r="AI28" s="737"/>
      <c r="AJ28" s="733"/>
      <c r="AK28" s="17"/>
      <c r="AL28" s="17"/>
    </row>
    <row r="29" spans="1:42" s="5" customFormat="1" ht="21.75" customHeight="1" x14ac:dyDescent="0.25">
      <c r="A29" s="333">
        <v>3503</v>
      </c>
      <c r="B29" s="473" t="s">
        <v>23</v>
      </c>
      <c r="C29" s="305">
        <v>0</v>
      </c>
      <c r="D29" s="474"/>
      <c r="E29" s="474"/>
      <c r="F29" s="474"/>
      <c r="G29" s="374">
        <v>3422</v>
      </c>
      <c r="H29" s="305">
        <f>SUM(G29:G29)</f>
        <v>3422</v>
      </c>
      <c r="I29" s="305"/>
      <c r="J29" s="305"/>
      <c r="K29" s="310">
        <f>H29*'DATOS REFERENCIALES'!$C$4</f>
        <v>64992.300779999998</v>
      </c>
      <c r="L29" s="310"/>
      <c r="M29" s="310"/>
      <c r="N29" s="312">
        <f>LOOKUP(C29,'TABLA ANTIG.'!$A$4:$A$39,'TABLA ANTIG.'!$B$4:$B$39)*(K29)</f>
        <v>0</v>
      </c>
      <c r="O29" s="312">
        <f>K29*0.1</f>
        <v>6499.2300780000005</v>
      </c>
      <c r="P29" s="310">
        <f>IF(H29&gt;1134,'DATOS REFERENCIALES'!$C$8,IF(('DATOS REFERENCIALES'!$C$8/1135*H29)&lt;'DATOS REFERENCIALES'!$F$8,'DATOS REFERENCIALES'!$F$8))</f>
        <v>13323</v>
      </c>
      <c r="Q29" s="312">
        <f>LOOKUP(C29,'TABLA ANTIG.'!$A$4:$A$39,'TABLA ANTIG.'!$B$4:$B$39)*(P29)</f>
        <v>0</v>
      </c>
      <c r="R29" s="475">
        <v>0</v>
      </c>
      <c r="S29" s="312">
        <f>IF(C29&gt;11,IF(H29&gt;1134,'DATOS REFERENCIALES'!$C$18,'DATOS REFERENCIALES'!$C$18/1135*H29),0)</f>
        <v>0</v>
      </c>
      <c r="T29" s="315">
        <f>K29+N29+O29+P29+Q29+R29+S29</f>
        <v>84814.530857999998</v>
      </c>
      <c r="U29" s="475">
        <f t="shared" ref="U29:U35" si="11">$T29*11%</f>
        <v>9329.5983943800002</v>
      </c>
      <c r="V29" s="475">
        <f t="shared" ref="V29:W35" si="12">$T29*3%</f>
        <v>2544.4359257399997</v>
      </c>
      <c r="W29" s="475">
        <f t="shared" si="12"/>
        <v>2544.4359257399997</v>
      </c>
      <c r="X29" s="475">
        <f t="shared" ref="X29:X35" si="13">$T29*2%</f>
        <v>1696.29061716</v>
      </c>
      <c r="Y29" s="475">
        <f t="shared" ref="Y29:Y35" si="14">$T29*4.5%</f>
        <v>3816.6538886099997</v>
      </c>
      <c r="Z29" s="312">
        <f t="shared" ref="Z29:Z35" si="15">SUM(U29:Y29)</f>
        <v>19931.41475163</v>
      </c>
      <c r="AA29" s="475">
        <f t="shared" ref="AA29:AA35" si="16">T29-Z29</f>
        <v>64883.116106369998</v>
      </c>
      <c r="AB29" s="312">
        <f>'DATOS REFERENCIALES'!$C$10</f>
        <v>0</v>
      </c>
      <c r="AC29" s="312">
        <f>IF(C29&lt;12,IF(H29&gt;1134,'DATOS REFERENCIALES'!$C$17,IF(('DATOS REFERENCIALES'!$C$17/1135*H29)&lt;'DATOS REFERENCIALES'!$F$17,'DATOS REFERENCIALES'!$F$17,('DATOS REFERENCIALES'!$C$17/1135*H29))),0)</f>
        <v>16597</v>
      </c>
      <c r="AD29" s="539">
        <f>IF((IF(H29&gt;1134,('DATOS REFERENCIALES'!$C$9-(T29-U29-V29-W29-X29-Y29+AB29+AC29-L30-L29*0.235)),(('DATOS REFERENCIALES'!$C$9/1135)*H29)-(K29+N29+O29+P29+Q29+S29-U29-V29-W29-X29-Y29+AB29+AC29-(L29-L29*0.235))))&lt;0,0,IF(H29&gt;1134,(('DATOS REFERENCIALES'!$C$9)-(T29-U29-V29-W29-X29-Y29+AB29+AC29-(L29-L29*0.235))),(('DATOS REFERENCIALES'!$C$9/1135)*H29)-(K29+N29+O29+P29+Q29+S29-U29-V29-W29-X29-Y29+AB29+AC29-(L29-L29*0.235))))</f>
        <v>0</v>
      </c>
      <c r="AE29" s="475">
        <f t="shared" ref="AE29:AE35" si="17">SUM(AA29:AD29)</f>
        <v>81480.116106369998</v>
      </c>
      <c r="AF29" s="317">
        <f>'DATOS REFERENCIALES'!$C$13</f>
        <v>5141</v>
      </c>
      <c r="AG29" s="338" t="e">
        <f>IF($H29&gt;1119,'DATOS REFERENCIALES'!#REF!,'DATOS REFERENCIALES'!#REF!/1120*$H29)</f>
        <v>#REF!</v>
      </c>
      <c r="AH29" s="389">
        <f>'DATOS REFERENCIALES'!$C$16</f>
        <v>2250</v>
      </c>
      <c r="AI29" s="312">
        <f>'DATOS REFERENCIALES'!$C$12</f>
        <v>6699</v>
      </c>
      <c r="AJ29" s="763">
        <f>+AE29+AE30+AF29+AH29+AI29</f>
        <v>103773.7692723255</v>
      </c>
      <c r="AK29" s="17"/>
      <c r="AL29" s="17"/>
      <c r="AP29" s="8"/>
    </row>
    <row r="30" spans="1:42" s="5" customFormat="1" ht="26.25" customHeight="1" thickBot="1" x14ac:dyDescent="0.3">
      <c r="A30" s="339">
        <v>3503</v>
      </c>
      <c r="B30" s="476" t="s">
        <v>23</v>
      </c>
      <c r="C30" s="320">
        <f>IF(C29&gt;0,C29,0)</f>
        <v>0</v>
      </c>
      <c r="D30" s="477"/>
      <c r="E30" s="477"/>
      <c r="F30" s="477"/>
      <c r="G30" s="376"/>
      <c r="H30" s="320"/>
      <c r="I30" s="534">
        <f>H29*'DATOS REFERENCIALES'!$K$4/100</f>
        <v>513.29999999999995</v>
      </c>
      <c r="J30" s="324"/>
      <c r="K30" s="325"/>
      <c r="L30" s="325">
        <f>I30*'DATOS REFERENCIALES'!$C$4</f>
        <v>9748.8451169999989</v>
      </c>
      <c r="M30" s="325"/>
      <c r="N30" s="327">
        <f>LOOKUP(C30,'TABLA ANTIG.'!$A$4:$A$39,'TABLA ANTIG.'!$B$4:$B$39)*(L30+M30)</f>
        <v>0</v>
      </c>
      <c r="O30" s="327">
        <f>(L30+M30)*0.1</f>
        <v>974.88451169999996</v>
      </c>
      <c r="P30" s="325"/>
      <c r="Q30" s="327"/>
      <c r="R30" s="327"/>
      <c r="S30" s="330"/>
      <c r="T30" s="330">
        <f>L30+M30+N30+O30+P30+Q30+R30</f>
        <v>10723.729628699999</v>
      </c>
      <c r="U30" s="327">
        <f t="shared" si="11"/>
        <v>1179.610259157</v>
      </c>
      <c r="V30" s="327">
        <f t="shared" si="12"/>
        <v>321.71188886099998</v>
      </c>
      <c r="W30" s="330">
        <f t="shared" si="12"/>
        <v>321.71188886099998</v>
      </c>
      <c r="X30" s="327">
        <f t="shared" si="13"/>
        <v>214.47459257399998</v>
      </c>
      <c r="Y30" s="327">
        <f t="shared" si="14"/>
        <v>482.56783329149994</v>
      </c>
      <c r="Z30" s="327">
        <f t="shared" si="15"/>
        <v>2520.0764627445001</v>
      </c>
      <c r="AA30" s="331">
        <f t="shared" si="16"/>
        <v>8203.6531659554985</v>
      </c>
      <c r="AB30" s="327"/>
      <c r="AC30" s="330"/>
      <c r="AD30" s="327"/>
      <c r="AE30" s="326">
        <f t="shared" si="17"/>
        <v>8203.6531659554985</v>
      </c>
      <c r="AF30" s="332"/>
      <c r="AG30" s="344"/>
      <c r="AH30" s="344"/>
      <c r="AI30" s="327"/>
      <c r="AJ30" s="764"/>
      <c r="AK30" s="17"/>
      <c r="AL30" s="17"/>
      <c r="AP30" s="8"/>
    </row>
    <row r="31" spans="1:42" s="5" customFormat="1" ht="21.75" customHeight="1" x14ac:dyDescent="0.25">
      <c r="A31" s="363">
        <v>3504</v>
      </c>
      <c r="B31" s="478" t="s">
        <v>38</v>
      </c>
      <c r="C31" s="245">
        <v>0</v>
      </c>
      <c r="D31" s="479"/>
      <c r="E31" s="479"/>
      <c r="F31" s="479"/>
      <c r="G31" s="246">
        <v>2874</v>
      </c>
      <c r="H31" s="245">
        <f>SUM(G31:G31)</f>
        <v>2874</v>
      </c>
      <c r="I31" s="245"/>
      <c r="J31" s="245"/>
      <c r="K31" s="247">
        <f>H31*'DATOS REFERENCIALES'!$C$4</f>
        <v>54584.416259999998</v>
      </c>
      <c r="L31" s="247"/>
      <c r="M31" s="247"/>
      <c r="N31" s="249">
        <f>LOOKUP(C31,'TABLA ANTIG.'!$A$4:$A$39,'TABLA ANTIG.'!$B$4:$B$39)*(K31)</f>
        <v>0</v>
      </c>
      <c r="O31" s="249">
        <f>K31*0.1</f>
        <v>5458.4416259999998</v>
      </c>
      <c r="P31" s="247">
        <f>IF(H31&gt;1134,'DATOS REFERENCIALES'!$C$8,IF(('DATOS REFERENCIALES'!$C$8/1135*H31)&lt;'DATOS REFERENCIALES'!$F$8,'DATOS REFERENCIALES'!$F$8))</f>
        <v>13323</v>
      </c>
      <c r="Q31" s="249">
        <f>LOOKUP(C31,'TABLA ANTIG.'!$A$4:$A$39,'TABLA ANTIG.'!$B$4:$B$39)*(P31)</f>
        <v>0</v>
      </c>
      <c r="R31" s="480">
        <v>0</v>
      </c>
      <c r="S31" s="249">
        <f>IF(C31&gt;11,IF(H31&gt;1134,'DATOS REFERENCIALES'!$C$18,'DATOS REFERENCIALES'!$C$18/1135*H31),0)</f>
        <v>0</v>
      </c>
      <c r="T31" s="252">
        <f>K31+N31+O31+P31+Q31+R31+S31</f>
        <v>73365.857885999998</v>
      </c>
      <c r="U31" s="480">
        <f t="shared" si="11"/>
        <v>8070.2443674599999</v>
      </c>
      <c r="V31" s="480">
        <f t="shared" si="12"/>
        <v>2200.9757365799996</v>
      </c>
      <c r="W31" s="480">
        <f t="shared" si="12"/>
        <v>2200.9757365799996</v>
      </c>
      <c r="X31" s="480">
        <f t="shared" si="13"/>
        <v>1467.3171577200001</v>
      </c>
      <c r="Y31" s="480">
        <f t="shared" si="14"/>
        <v>3301.4636048699999</v>
      </c>
      <c r="Z31" s="249">
        <f t="shared" si="15"/>
        <v>17240.976603210001</v>
      </c>
      <c r="AA31" s="480">
        <f t="shared" si="16"/>
        <v>56124.881282789996</v>
      </c>
      <c r="AB31" s="249">
        <f>'DATOS REFERENCIALES'!$C$10</f>
        <v>0</v>
      </c>
      <c r="AC31" s="249">
        <f>IF(C31&lt;12,IF(H31&gt;1134,'DATOS REFERENCIALES'!$C$17,IF(('DATOS REFERENCIALES'!$C$17/1135*H31)&lt;'DATOS REFERENCIALES'!$F$17,'DATOS REFERENCIALES'!$F$17,('DATOS REFERENCIALES'!$C$17/1135*H31))),0)</f>
        <v>16597</v>
      </c>
      <c r="AD31" s="382">
        <f>IF((IF(H31&gt;1134,('DATOS REFERENCIALES'!$C$9-(T31-U31-V31-W31-X31-Y31+AB31+AC31-L32-L31*0.235)),(('DATOS REFERENCIALES'!$C$9/1135)*H31)-(K31+N31+O31+P31+Q31+S31-U31-V31-W31-X31-Y31+AB31+AC31-(L31-L31*0.235))))&lt;0,0,IF(H31&gt;1134,(('DATOS REFERENCIALES'!$C$9)-(T31-U31-V31-W31-X31-Y31+AB31+AC31-(L31-L31*0.235))),(('DATOS REFERENCIALES'!$C$9/1135)*H31)-(K31+N31+O31+P31+Q31+S31-U31-V31-W31-X31-Y31+AB31+AC31-(L31-L31*0.235))))</f>
        <v>0</v>
      </c>
      <c r="AE31" s="480">
        <f t="shared" si="17"/>
        <v>72721.881282789996</v>
      </c>
      <c r="AF31" s="254">
        <f>'DATOS REFERENCIALES'!$C$13</f>
        <v>5141</v>
      </c>
      <c r="AG31" s="366" t="e">
        <f>IF($H31&gt;1119,'DATOS REFERENCIALES'!#REF!,'DATOS REFERENCIALES'!#REF!/1120*$H31)</f>
        <v>#REF!</v>
      </c>
      <c r="AH31" s="249">
        <f>'DATOS REFERENCIALES'!$C$16</f>
        <v>2250</v>
      </c>
      <c r="AI31" s="249">
        <f>'DATOS REFERENCIALES'!$C$12</f>
        <v>6699</v>
      </c>
      <c r="AJ31" s="765">
        <f>+AE31+AE32+AF31+AH31+AI31</f>
        <v>93701.799225208495</v>
      </c>
      <c r="AK31" s="17"/>
      <c r="AL31" s="17"/>
      <c r="AP31" s="8"/>
    </row>
    <row r="32" spans="1:42" s="5" customFormat="1" ht="21.75" customHeight="1" thickBot="1" x14ac:dyDescent="0.3">
      <c r="A32" s="690">
        <v>3504</v>
      </c>
      <c r="B32" s="691" t="s">
        <v>38</v>
      </c>
      <c r="C32" s="692">
        <f>IF(C31&gt;0,C31,0)</f>
        <v>0</v>
      </c>
      <c r="D32" s="693"/>
      <c r="E32" s="693"/>
      <c r="F32" s="693"/>
      <c r="G32" s="694"/>
      <c r="H32" s="695"/>
      <c r="I32" s="696">
        <f>H31*'DATOS REFERENCIALES'!$K$4/100</f>
        <v>431.1</v>
      </c>
      <c r="J32" s="697"/>
      <c r="K32" s="679"/>
      <c r="L32" s="679">
        <f>I32*'DATOS REFERENCIALES'!$C$4</f>
        <v>8187.6624390000006</v>
      </c>
      <c r="M32" s="679"/>
      <c r="N32" s="263">
        <f>LOOKUP(C32,'TABLA ANTIG.'!$A$4:$A$39,'TABLA ANTIG.'!$B$4:$B$39)*(L32+M32)</f>
        <v>0</v>
      </c>
      <c r="O32" s="263">
        <f>(L32+M32)*0.1</f>
        <v>818.76624390000006</v>
      </c>
      <c r="P32" s="679"/>
      <c r="Q32" s="263"/>
      <c r="R32" s="263"/>
      <c r="S32" s="265"/>
      <c r="T32" s="265">
        <f>L32+M32+N32+O32+P32+Q32+R32</f>
        <v>9006.4286829000011</v>
      </c>
      <c r="U32" s="263">
        <f t="shared" si="11"/>
        <v>990.70715511900016</v>
      </c>
      <c r="V32" s="263">
        <f t="shared" si="12"/>
        <v>270.19286048700002</v>
      </c>
      <c r="W32" s="265">
        <f t="shared" si="12"/>
        <v>270.19286048700002</v>
      </c>
      <c r="X32" s="263">
        <f t="shared" si="13"/>
        <v>180.12857365800002</v>
      </c>
      <c r="Y32" s="263">
        <f t="shared" si="14"/>
        <v>405.28929073050006</v>
      </c>
      <c r="Z32" s="263">
        <f t="shared" si="15"/>
        <v>2116.5107404815003</v>
      </c>
      <c r="AA32" s="264">
        <f t="shared" si="16"/>
        <v>6889.9179424185004</v>
      </c>
      <c r="AB32" s="263"/>
      <c r="AC32" s="573"/>
      <c r="AD32" s="263"/>
      <c r="AE32" s="498">
        <f t="shared" si="17"/>
        <v>6889.9179424185004</v>
      </c>
      <c r="AF32" s="669"/>
      <c r="AG32" s="400"/>
      <c r="AH32" s="669"/>
      <c r="AI32" s="263"/>
      <c r="AJ32" s="793"/>
      <c r="AK32" s="17"/>
      <c r="AL32" s="17"/>
      <c r="AP32" s="8"/>
    </row>
    <row r="33" spans="1:42" s="5" customFormat="1" ht="21.75" customHeight="1" x14ac:dyDescent="0.25">
      <c r="A33" s="550">
        <v>3582</v>
      </c>
      <c r="B33" s="698" t="s">
        <v>42</v>
      </c>
      <c r="C33" s="699">
        <v>0</v>
      </c>
      <c r="D33" s="699"/>
      <c r="E33" s="699"/>
      <c r="F33" s="699"/>
      <c r="G33" s="553">
        <v>952</v>
      </c>
      <c r="H33" s="554">
        <f>SUM(G33:G33)</f>
        <v>952</v>
      </c>
      <c r="I33" s="554"/>
      <c r="J33" s="554"/>
      <c r="K33" s="700">
        <f>H33*'DATOS REFERENCIALES'!$C$4</f>
        <v>18080.850480000001</v>
      </c>
      <c r="L33" s="700"/>
      <c r="M33" s="700"/>
      <c r="N33" s="77">
        <f>LOOKUP(C33,'TABLA ANTIG.'!$A$4:$A$39,'TABLA ANTIG.'!$B$4:$B$39)*(K33)</f>
        <v>0</v>
      </c>
      <c r="O33" s="77">
        <f>K33*0.1</f>
        <v>1808.0850480000001</v>
      </c>
      <c r="P33" s="680">
        <f>IF(H33&gt;1134,'DATOS REFERENCIALES'!$C$8,IF(('DATOS REFERENCIALES'!$C$8/1135*H33)&lt;'DATOS REFERENCIALES'!$F$8,'DATOS REFERENCIALES'!$F$8))</f>
        <v>12239</v>
      </c>
      <c r="Q33" s="77">
        <f>LOOKUP(C33,'TABLA ANTIG.'!$A$4:$A$39,'TABLA ANTIG.'!$B$4:$B$39)*(P33)</f>
        <v>0</v>
      </c>
      <c r="R33" s="701">
        <v>0</v>
      </c>
      <c r="S33" s="497">
        <f>IF(C33&gt;11,IF(H33&gt;1134,'DATOS REFERENCIALES'!$C$18,IF(('DATOS REFERENCIALES'!$C$18/1135*H33)&lt;'DATOS REFERENCIALES'!$F$18,'DATOS REFERENCIALES'!$F$18,'DATOS REFERENCIALES'!$C$18/1135*H33)),0)</f>
        <v>0</v>
      </c>
      <c r="T33" s="595">
        <f>K33+N33+O33+P33+Q33+R33+S33</f>
        <v>32127.935528000002</v>
      </c>
      <c r="U33" s="702">
        <f t="shared" si="11"/>
        <v>3534.0729080800002</v>
      </c>
      <c r="V33" s="702">
        <f t="shared" si="12"/>
        <v>963.83806584000001</v>
      </c>
      <c r="W33" s="702">
        <f t="shared" si="12"/>
        <v>963.83806584000001</v>
      </c>
      <c r="X33" s="702">
        <f t="shared" si="13"/>
        <v>642.55871056000001</v>
      </c>
      <c r="Y33" s="702">
        <f t="shared" si="14"/>
        <v>1445.75709876</v>
      </c>
      <c r="Z33" s="77">
        <f t="shared" si="15"/>
        <v>7550.0648490800004</v>
      </c>
      <c r="AA33" s="702">
        <f t="shared" si="16"/>
        <v>24577.870678920001</v>
      </c>
      <c r="AB33" s="507">
        <f>'DATOS REFERENCIALES'!$C$10</f>
        <v>0</v>
      </c>
      <c r="AC33" s="77">
        <f>IF(C33&lt;12,IF(H33&gt;1134,'DATOS REFERENCIALES'!$C$17,IF(('DATOS REFERENCIALES'!$C$17/1135*H33)&lt;'DATOS REFERENCIALES'!$F$17,'DATOS REFERENCIALES'!$F$17,('DATOS REFERENCIALES'!$C$17/1135*H33))),0)</f>
        <v>15925</v>
      </c>
      <c r="AD33" s="682">
        <f>IF((IF(H33&gt;1134,('DATOS REFERENCIALES'!$C$9-(T33-U33-V33-W33-X33-Y33+AB33+AC33-L33-L33*0.235)),(('DATOS REFERENCIALES'!$C$9/1135)*H33)-(K33+N33+O33+P33+Q33+S33-U33-V33-W33-X33-Y33+AB33+AC33-(L33-L33*0.235))))&lt;0,0,IF(H33&gt;1134,(('DATOS REFERENCIALES'!$C$9)-(T33-U33-V33-W33-X33-Y33+AB33+AC33-(L33-L33*0.235))),(('DATOS REFERENCIALES'!$C$9/1135)*H33)-(K33+N33+O33+P33+Q33+S33-U33-V33-W33-X33-Y33+AB33+AC33-(L33-L33*0.235))))</f>
        <v>12804.935488480871</v>
      </c>
      <c r="AE33" s="703">
        <f t="shared" si="17"/>
        <v>53307.806167400871</v>
      </c>
      <c r="AF33" s="509">
        <f>'DATOS REFERENCIALES'!$C$13</f>
        <v>5141</v>
      </c>
      <c r="AG33" s="705" t="e">
        <f>IF($H33&gt;1119,'DATOS REFERENCIALES'!#REF!,'DATOS REFERENCIALES'!#REF!/1120*$H33)</f>
        <v>#REF!</v>
      </c>
      <c r="AH33" s="643">
        <f>'DATOS REFERENCIALES'!$C$16</f>
        <v>2250</v>
      </c>
      <c r="AI33" s="549">
        <f>'DATOS REFERENCIALES'!$C$12</f>
        <v>6699</v>
      </c>
      <c r="AJ33" s="77">
        <f>+AE33+AF33+AH33+AI33</f>
        <v>67397.806167400879</v>
      </c>
      <c r="AK33" s="17"/>
      <c r="AL33" s="17"/>
      <c r="AP33" s="8"/>
    </row>
    <row r="34" spans="1:42" s="1" customFormat="1" ht="21.75" customHeight="1" x14ac:dyDescent="0.25">
      <c r="A34" s="73">
        <v>455</v>
      </c>
      <c r="B34" s="221" t="s">
        <v>53</v>
      </c>
      <c r="C34" s="25">
        <v>0</v>
      </c>
      <c r="D34" s="25"/>
      <c r="E34" s="25"/>
      <c r="F34" s="25"/>
      <c r="G34" s="51">
        <v>2264</v>
      </c>
      <c r="H34" s="34">
        <f>SUM(G34:G34)</f>
        <v>2264</v>
      </c>
      <c r="I34" s="34"/>
      <c r="J34" s="34"/>
      <c r="K34" s="113">
        <f>H34*'DATOS REFERENCIALES'!$C$4</f>
        <v>42998.997360000001</v>
      </c>
      <c r="L34" s="113"/>
      <c r="M34" s="113"/>
      <c r="N34" s="78">
        <f>LOOKUP(C34,'TABLA ANTIG.'!$A$4:$A$39,'TABLA ANTIG.'!$B$4:$B$39)*(K34)</f>
        <v>0</v>
      </c>
      <c r="O34" s="144">
        <f>K34*0.1</f>
        <v>4299.8997360000003</v>
      </c>
      <c r="P34" s="681">
        <f>'DATOS REFERENCIALES'!$D$8</f>
        <v>26646</v>
      </c>
      <c r="Q34" s="127">
        <f>LOOKUP(C34,'TABLA ANTIG.'!$A$4:$A$39,'TABLA ANTIG.'!$B$4:$B$39)*(P34)</f>
        <v>0</v>
      </c>
      <c r="R34" s="500">
        <v>0</v>
      </c>
      <c r="S34" s="104">
        <f>IF(C34&gt;11,IF(H34&gt;2069,'DATOS REFERENCIALES'!$D$18,IF(('DATOS REFERENCIALES'!$D$18/2070*H34)&lt;'DATOS REFERENCIALES'!$G$18,'DATOS REFERENCIALES'!$G$18,'DATOS REFERENCIALES'!$D$18/2070*H34)),0)</f>
        <v>0</v>
      </c>
      <c r="T34" s="148">
        <f>K34+N34+O34+P34+Q34+R34+S34</f>
        <v>73944.897096000001</v>
      </c>
      <c r="U34" s="115">
        <f t="shared" si="11"/>
        <v>8133.9386805599997</v>
      </c>
      <c r="V34" s="115">
        <f t="shared" si="12"/>
        <v>2218.3469128799998</v>
      </c>
      <c r="W34" s="115">
        <f t="shared" si="12"/>
        <v>2218.3469128799998</v>
      </c>
      <c r="X34" s="115">
        <f t="shared" si="13"/>
        <v>1478.89794192</v>
      </c>
      <c r="Y34" s="115">
        <f t="shared" si="14"/>
        <v>3327.5203693200001</v>
      </c>
      <c r="Z34" s="78">
        <f t="shared" si="15"/>
        <v>17377.050817559997</v>
      </c>
      <c r="AA34" s="115">
        <f t="shared" si="16"/>
        <v>56567.846278440004</v>
      </c>
      <c r="AB34" s="144">
        <f>'DATOS REFERENCIALES'!D10</f>
        <v>0</v>
      </c>
      <c r="AC34" s="78">
        <f>IF(C34&lt;12,IF(H34&gt;2069,'DATOS REFERENCIALES'!$D$17,'DATOS REFERENCIALES'!$D$17/2070*H34),0)</f>
        <v>33194</v>
      </c>
      <c r="AD34" s="558">
        <f>IF((IF(H34&gt;2069,('DATOS REFERENCIALES'!$D$9-(T34-U34-V34-W34-X34-Y34+AB34+AC34)),(('DATOS REFERENCIALES'!$D$9/2070)*H34)-(K34+N34+O34+P34+Q34+S34-U34-V34-W34-X34-Y34+AB34+AC34)))&lt;0,0,IF(H34&gt;2069,(('DATOS REFERENCIALES'!$D$9)-(T34-U34-V34-W34-X34-Y34+AB34+AC34)),(('DATOS REFERENCIALES'!$D$9/2070)*H34)-(K34+N34+O34+P34+Q34+S34-U34-V34-W34-X34-Y34+AB34+AC34)))</f>
        <v>37348.153721559996</v>
      </c>
      <c r="AE34" s="223">
        <f t="shared" si="17"/>
        <v>127110</v>
      </c>
      <c r="AF34" s="487">
        <f>'DATOS REFERENCIALES'!D13</f>
        <v>10282</v>
      </c>
      <c r="AG34" s="706" t="e">
        <f>IF($H34&gt;1119,'DATOS REFERENCIALES'!#REF!,'DATOS REFERENCIALES'!#REF!/1120*$H34)</f>
        <v>#REF!</v>
      </c>
      <c r="AH34" s="584">
        <f>'DATOS REFERENCIALES'!$D$16</f>
        <v>4500</v>
      </c>
      <c r="AI34" s="127">
        <f>'DATOS REFERENCIALES'!$D$12</f>
        <v>13398</v>
      </c>
      <c r="AJ34" s="78">
        <f>+AE34+AF34+AH34+AI34</f>
        <v>155290</v>
      </c>
      <c r="AK34" s="17"/>
      <c r="AL34" s="17"/>
      <c r="AP34" s="8"/>
    </row>
    <row r="35" spans="1:42" s="1" customFormat="1" ht="21.75" customHeight="1" thickBot="1" x14ac:dyDescent="0.3">
      <c r="A35" s="74">
        <v>3525</v>
      </c>
      <c r="B35" s="222" t="s">
        <v>25</v>
      </c>
      <c r="C35" s="26">
        <v>0</v>
      </c>
      <c r="D35" s="26"/>
      <c r="E35" s="26"/>
      <c r="F35" s="26"/>
      <c r="G35" s="52">
        <v>2204</v>
      </c>
      <c r="H35" s="56">
        <v>2500</v>
      </c>
      <c r="I35" s="56"/>
      <c r="J35" s="56"/>
      <c r="K35" s="114">
        <f>H35*'DATOS REFERENCIALES'!$C$4</f>
        <v>47481.224999999999</v>
      </c>
      <c r="L35" s="114"/>
      <c r="M35" s="114"/>
      <c r="N35" s="79">
        <f>LOOKUP(C35,'TABLA ANTIG.'!$A$4:$A$39,'TABLA ANTIG.'!$B$4:$B$39)*(K35)</f>
        <v>0</v>
      </c>
      <c r="O35" s="79">
        <f>K35*0.1</f>
        <v>4748.1225000000004</v>
      </c>
      <c r="P35" s="704">
        <f>IF(H35&gt;1134,'DATOS REFERENCIALES'!$C$8,IF(('DATOS REFERENCIALES'!$C$8/1135*H35)&lt;'DATOS REFERENCIALES'!$F$8,'DATOS REFERENCIALES'!$F$8))</f>
        <v>13323</v>
      </c>
      <c r="Q35" s="79">
        <f>LOOKUP(C35,'TABLA ANTIG.'!$A$4:$A$39,'TABLA ANTIG.'!$B$4:$B$39)*(P35)</f>
        <v>0</v>
      </c>
      <c r="R35" s="501">
        <v>0</v>
      </c>
      <c r="S35" s="504">
        <f>IF(C35&gt;11,IF(H35&gt;1134,'DATOS REFERENCIALES'!$C$18,IF(('DATOS REFERENCIALES'!$C$18/1135*H35)&lt;'DATOS REFERENCIALES'!$F$18,'DATOS REFERENCIALES'!$F$18,'DATOS REFERENCIALES'!$C$18/1135*H35)),0)</f>
        <v>0</v>
      </c>
      <c r="T35" s="154">
        <f>K35+N35+O35+P35+Q35+R35+S35</f>
        <v>65552.347500000003</v>
      </c>
      <c r="U35" s="116">
        <f t="shared" si="11"/>
        <v>7210.7582250000005</v>
      </c>
      <c r="V35" s="116">
        <f t="shared" si="12"/>
        <v>1966.5704250000001</v>
      </c>
      <c r="W35" s="116">
        <f t="shared" si="12"/>
        <v>1966.5704250000001</v>
      </c>
      <c r="X35" s="116">
        <f t="shared" si="13"/>
        <v>1311.0469500000002</v>
      </c>
      <c r="Y35" s="116">
        <f t="shared" si="14"/>
        <v>2949.8556374999998</v>
      </c>
      <c r="Z35" s="79">
        <f t="shared" si="15"/>
        <v>15404.801662500002</v>
      </c>
      <c r="AA35" s="116">
        <f t="shared" si="16"/>
        <v>50147.545837500002</v>
      </c>
      <c r="AB35" s="147">
        <f>'DATOS REFERENCIALES'!$C$10</f>
        <v>0</v>
      </c>
      <c r="AC35" s="79">
        <f>IF(C35&lt;12,IF(H35&gt;1134,'DATOS REFERENCIALES'!$C$17,IF(('DATOS REFERENCIALES'!$C$17/1135*H35)&lt;'DATOS REFERENCIALES'!$F$17,'DATOS REFERENCIALES'!$F$17,('DATOS REFERENCIALES'!$C$17/1135*H35))),0)</f>
        <v>16597</v>
      </c>
      <c r="AD35" s="683">
        <f>IF((IF(H35&gt;1134,('DATOS REFERENCIALES'!$C$9-(T35-U35-V35-W35-X35-Y35+AB35+AC35-L35-L35*0.235)),(('DATOS REFERENCIALES'!$C$9/1135)*H35)-(K35+N35+O35+P35+Q35+S35-U35-V35-W35-X35-Y35+AB35+AC35-(L35-L35*0.235))))&lt;0,0,IF(H35&gt;1134,(('DATOS REFERENCIALES'!$C$9)-(T35-U35-V35-W35-X35-Y35+AB35+AC35-(L35-L35*0.235))),(('DATOS REFERENCIALES'!$C$9/1135)*H35)-(K35+N35+O35+P35+Q35+S35-U35-V35-W35-X35-Y35+AB35+AC35-(L35-L35*0.235))))</f>
        <v>0</v>
      </c>
      <c r="AE35" s="224">
        <f t="shared" si="17"/>
        <v>66744.545837500002</v>
      </c>
      <c r="AF35" s="91">
        <f>'DATOS REFERENCIALES'!$C$13</f>
        <v>5141</v>
      </c>
      <c r="AG35" s="707" t="e">
        <f>IF($H35&gt;1119,'DATOS REFERENCIALES'!#REF!,'DATOS REFERENCIALES'!#REF!/1120*$H35)</f>
        <v>#REF!</v>
      </c>
      <c r="AH35" s="644">
        <f>'DATOS REFERENCIALES'!$C$16</f>
        <v>2250</v>
      </c>
      <c r="AI35" s="128">
        <f>'DATOS REFERENCIALES'!$C$12</f>
        <v>6699</v>
      </c>
      <c r="AJ35" s="79">
        <f>+AE35+AF35+AH35+AI35</f>
        <v>80834.545837500002</v>
      </c>
      <c r="AK35" s="17"/>
      <c r="AL35" s="17"/>
      <c r="AP35" s="8"/>
    </row>
  </sheetData>
  <mergeCells count="71">
    <mergeCell ref="AH9:AH10"/>
    <mergeCell ref="AC9:AC10"/>
    <mergeCell ref="AC27:AC28"/>
    <mergeCell ref="AH27:AH28"/>
    <mergeCell ref="AJ11:AJ12"/>
    <mergeCell ref="AJ13:AJ14"/>
    <mergeCell ref="AI9:AI10"/>
    <mergeCell ref="AI27:AI28"/>
    <mergeCell ref="AD9:AD10"/>
    <mergeCell ref="AE27:AE28"/>
    <mergeCell ref="AJ9:AJ10"/>
    <mergeCell ref="AJ27:AJ28"/>
    <mergeCell ref="AF9:AF10"/>
    <mergeCell ref="AF27:AF28"/>
    <mergeCell ref="AG9:AG10"/>
    <mergeCell ref="AG27:AG28"/>
    <mergeCell ref="Z9:Z10"/>
    <mergeCell ref="AA9:AA10"/>
    <mergeCell ref="I27:I28"/>
    <mergeCell ref="H9:H10"/>
    <mergeCell ref="G27:G28"/>
    <mergeCell ref="I9:I10"/>
    <mergeCell ref="J27:J28"/>
    <mergeCell ref="N9:N10"/>
    <mergeCell ref="J9:J10"/>
    <mergeCell ref="T9:T10"/>
    <mergeCell ref="O27:O28"/>
    <mergeCell ref="N27:N28"/>
    <mergeCell ref="Q27:Q28"/>
    <mergeCell ref="O9:O10"/>
    <mergeCell ref="U9:Y9"/>
    <mergeCell ref="AA27:AA28"/>
    <mergeCell ref="B27:B28"/>
    <mergeCell ref="K27:K28"/>
    <mergeCell ref="E9:E10"/>
    <mergeCell ref="F9:F10"/>
    <mergeCell ref="D27:D28"/>
    <mergeCell ref="E27:E28"/>
    <mergeCell ref="C27:C28"/>
    <mergeCell ref="A27:A28"/>
    <mergeCell ref="C9:C10"/>
    <mergeCell ref="Q9:Q10"/>
    <mergeCell ref="S9:S10"/>
    <mergeCell ref="S27:S28"/>
    <mergeCell ref="D9:D10"/>
    <mergeCell ref="H27:H28"/>
    <mergeCell ref="L27:L28"/>
    <mergeCell ref="M27:M28"/>
    <mergeCell ref="G9:G10"/>
    <mergeCell ref="P9:P10"/>
    <mergeCell ref="F27:F28"/>
    <mergeCell ref="P27:P28"/>
    <mergeCell ref="L9:L10"/>
    <mergeCell ref="M9:M10"/>
    <mergeCell ref="K9:K10"/>
    <mergeCell ref="AJ29:AJ30"/>
    <mergeCell ref="AJ31:AJ32"/>
    <mergeCell ref="R9:R10"/>
    <mergeCell ref="AB27:AB28"/>
    <mergeCell ref="K3:AA5"/>
    <mergeCell ref="R27:R28"/>
    <mergeCell ref="T27:T28"/>
    <mergeCell ref="U27:Y27"/>
    <mergeCell ref="Z27:Z28"/>
    <mergeCell ref="A6:AJ6"/>
    <mergeCell ref="A7:AJ7"/>
    <mergeCell ref="AB9:AB10"/>
    <mergeCell ref="AD27:AD28"/>
    <mergeCell ref="AE9:AE10"/>
    <mergeCell ref="A9:A10"/>
    <mergeCell ref="B9:B1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175"/>
  <sheetViews>
    <sheetView topLeftCell="A4" zoomScale="65" zoomScaleNormal="65" workbookViewId="0">
      <selection activeCell="G18" sqref="G18"/>
    </sheetView>
  </sheetViews>
  <sheetFormatPr baseColWidth="10" defaultColWidth="11.44140625" defaultRowHeight="13.2" x14ac:dyDescent="0.25"/>
  <cols>
    <col min="1" max="1" width="3.5546875" style="10" customWidth="1"/>
    <col min="2" max="2" width="60" style="1" customWidth="1"/>
    <col min="3" max="3" width="32.44140625" style="13" bestFit="1" customWidth="1"/>
    <col min="4" max="4" width="19.5546875" style="13" customWidth="1"/>
    <col min="5" max="5" width="21.109375" style="13" customWidth="1"/>
    <col min="6" max="6" width="15.33203125" style="13" customWidth="1"/>
    <col min="7" max="7" width="15.33203125" style="576" customWidth="1"/>
    <col min="8" max="8" width="18.33203125" style="13" customWidth="1"/>
    <col min="9" max="9" width="13.6640625" style="13" customWidth="1"/>
    <col min="10" max="10" width="16.33203125" style="14" customWidth="1"/>
    <col min="11" max="11" width="16.44140625" style="13" customWidth="1"/>
    <col min="12" max="12" width="28.88671875" style="13" customWidth="1"/>
    <col min="13" max="14" width="17.88671875" style="14" customWidth="1"/>
    <col min="15" max="15" width="16.5546875" style="13" customWidth="1"/>
    <col min="16" max="16" width="19.88671875" style="13" customWidth="1"/>
    <col min="17" max="17" width="20.44140625" style="13" customWidth="1"/>
    <col min="18" max="18" width="18" style="13" customWidth="1"/>
    <col min="19" max="19" width="19.44140625" style="13" customWidth="1"/>
    <col min="20" max="20" width="16.88671875" style="13" customWidth="1"/>
    <col min="21" max="21" width="17" style="13" customWidth="1"/>
    <col min="22" max="22" width="15.6640625" style="13" customWidth="1"/>
    <col min="23" max="23" width="15.109375" style="13" customWidth="1"/>
    <col min="24" max="24" width="16.88671875" style="13" customWidth="1"/>
    <col min="25" max="26" width="16.88671875" style="13" hidden="1" customWidth="1"/>
    <col min="27" max="27" width="16.88671875" style="13" customWidth="1"/>
    <col min="28" max="28" width="15.5546875" style="13" customWidth="1"/>
    <col min="29" max="29" width="14.33203125" style="13" customWidth="1"/>
    <col min="30" max="30" width="18.6640625" style="13" hidden="1" customWidth="1"/>
    <col min="31" max="32" width="18.6640625" style="13" customWidth="1"/>
    <col min="33" max="36" width="11.44140625" style="13"/>
    <col min="37" max="37" width="12.6640625" style="13" customWidth="1"/>
    <col min="38" max="38" width="11.44140625" style="13"/>
    <col min="39" max="41" width="11.44140625" style="1"/>
    <col min="42" max="42" width="12.33203125" style="1" bestFit="1" customWidth="1"/>
    <col min="43" max="16384" width="11.44140625" style="1"/>
  </cols>
  <sheetData>
    <row r="1" spans="1:38" ht="13.8" thickBot="1" x14ac:dyDescent="0.3"/>
    <row r="2" spans="1:38" ht="60.6" thickBot="1" x14ac:dyDescent="1">
      <c r="A2" s="830" t="s">
        <v>103</v>
      </c>
      <c r="B2" s="831"/>
      <c r="C2" s="557" t="s">
        <v>203</v>
      </c>
      <c r="M2" s="14" t="s">
        <v>188</v>
      </c>
    </row>
    <row r="3" spans="1:38" ht="60" x14ac:dyDescent="0.95">
      <c r="A3" s="68"/>
      <c r="B3" s="68"/>
      <c r="D3" s="518"/>
      <c r="E3" s="518"/>
      <c r="F3" s="518"/>
      <c r="I3" s="543" t="s">
        <v>189</v>
      </c>
      <c r="J3" s="543" t="s">
        <v>190</v>
      </c>
      <c r="K3" s="543" t="s">
        <v>192</v>
      </c>
    </row>
    <row r="4" spans="1:38" ht="30" x14ac:dyDescent="0.5">
      <c r="B4" s="135" t="s">
        <v>104</v>
      </c>
      <c r="C4" s="581">
        <v>18.99249</v>
      </c>
      <c r="D4" s="518"/>
      <c r="E4" s="135" t="s">
        <v>188</v>
      </c>
      <c r="F4" s="545"/>
      <c r="G4" s="545"/>
      <c r="H4" s="546"/>
      <c r="I4" s="544">
        <v>7.5</v>
      </c>
      <c r="J4" s="544">
        <v>12.5</v>
      </c>
      <c r="K4" s="544">
        <v>15</v>
      </c>
    </row>
    <row r="5" spans="1:38" ht="30" x14ac:dyDescent="0.5">
      <c r="B5" s="80"/>
      <c r="C5" s="81"/>
      <c r="D5" s="81"/>
      <c r="E5" s="81"/>
      <c r="F5" s="81"/>
      <c r="G5" s="81"/>
    </row>
    <row r="6" spans="1:38" ht="30" customHeight="1" x14ac:dyDescent="0.5">
      <c r="B6" s="80"/>
      <c r="C6" s="133"/>
      <c r="D6" s="133"/>
      <c r="E6" s="133"/>
      <c r="F6" s="133"/>
      <c r="G6" s="133"/>
      <c r="H6" s="832" t="s">
        <v>107</v>
      </c>
      <c r="I6" s="833" t="s">
        <v>115</v>
      </c>
      <c r="J6" s="833" t="s">
        <v>116</v>
      </c>
      <c r="K6" s="813" t="s">
        <v>113</v>
      </c>
      <c r="L6" s="811" t="s">
        <v>114</v>
      </c>
      <c r="M6" s="810" t="s">
        <v>139</v>
      </c>
      <c r="N6" s="810" t="s">
        <v>140</v>
      </c>
    </row>
    <row r="7" spans="1:38" ht="50.25" customHeight="1" x14ac:dyDescent="0.25">
      <c r="C7" s="134" t="s">
        <v>137</v>
      </c>
      <c r="D7" s="134" t="s">
        <v>105</v>
      </c>
      <c r="E7" s="134" t="s">
        <v>112</v>
      </c>
      <c r="F7" s="134" t="s">
        <v>193</v>
      </c>
      <c r="G7" s="134" t="s">
        <v>194</v>
      </c>
      <c r="H7" s="832"/>
      <c r="I7" s="833"/>
      <c r="J7" s="833"/>
      <c r="K7" s="814"/>
      <c r="L7" s="812"/>
      <c r="M7" s="810"/>
      <c r="N7" s="810"/>
    </row>
    <row r="8" spans="1:38" ht="33.9" customHeight="1" x14ac:dyDescent="0.4">
      <c r="B8" s="580" t="s">
        <v>109</v>
      </c>
      <c r="C8" s="167">
        <v>13323</v>
      </c>
      <c r="D8" s="167">
        <f>+C8*2</f>
        <v>26646</v>
      </c>
      <c r="E8" s="168">
        <f>D8/J8</f>
        <v>701.21052631578948</v>
      </c>
      <c r="F8" s="167">
        <v>12239</v>
      </c>
      <c r="G8" s="167">
        <f>F8*2</f>
        <v>24478</v>
      </c>
      <c r="H8" s="168"/>
      <c r="I8" s="236">
        <v>19</v>
      </c>
      <c r="J8" s="236">
        <v>38</v>
      </c>
      <c r="K8" s="236">
        <v>19</v>
      </c>
      <c r="L8" s="236">
        <v>38</v>
      </c>
      <c r="M8" s="237"/>
      <c r="N8" s="237"/>
    </row>
    <row r="9" spans="1:38" ht="33.9" customHeight="1" x14ac:dyDescent="0.4">
      <c r="B9" s="580" t="s">
        <v>106</v>
      </c>
      <c r="C9" s="167">
        <v>63555</v>
      </c>
      <c r="D9" s="167">
        <f>+C9*2</f>
        <v>127110</v>
      </c>
      <c r="E9" s="167">
        <f>D9/J9</f>
        <v>3177.75</v>
      </c>
      <c r="F9" s="170"/>
      <c r="G9" s="170"/>
      <c r="H9" s="168"/>
      <c r="I9" s="236">
        <v>20</v>
      </c>
      <c r="J9" s="236">
        <v>40</v>
      </c>
      <c r="K9" s="236">
        <v>20</v>
      </c>
      <c r="L9" s="236">
        <v>40</v>
      </c>
      <c r="M9" s="167">
        <v>37429</v>
      </c>
      <c r="N9" s="167">
        <v>99516</v>
      </c>
    </row>
    <row r="10" spans="1:38" ht="33.9" customHeight="1" x14ac:dyDescent="0.4">
      <c r="B10" s="542"/>
      <c r="C10" s="167">
        <v>0</v>
      </c>
      <c r="D10" s="167">
        <f>+C10*2</f>
        <v>0</v>
      </c>
      <c r="E10" s="167">
        <f>D10/J10</f>
        <v>0</v>
      </c>
      <c r="F10" s="170"/>
      <c r="G10" s="170"/>
      <c r="H10" s="168"/>
      <c r="I10" s="236">
        <v>19</v>
      </c>
      <c r="J10" s="236">
        <v>38</v>
      </c>
      <c r="K10" s="236">
        <v>19</v>
      </c>
      <c r="L10" s="236">
        <v>38</v>
      </c>
      <c r="M10" s="235"/>
      <c r="N10" s="235"/>
    </row>
    <row r="11" spans="1:38" ht="33.9" hidden="1" customHeight="1" x14ac:dyDescent="0.4">
      <c r="B11" s="136"/>
      <c r="C11" s="167">
        <v>0</v>
      </c>
      <c r="D11" s="167">
        <v>0</v>
      </c>
      <c r="E11" s="169">
        <v>0</v>
      </c>
      <c r="F11" s="170"/>
      <c r="G11" s="170"/>
      <c r="H11" s="169">
        <v>0</v>
      </c>
      <c r="I11" s="236">
        <v>15</v>
      </c>
      <c r="J11" s="236">
        <v>30</v>
      </c>
      <c r="K11" s="236">
        <v>12</v>
      </c>
      <c r="L11" s="236">
        <v>24</v>
      </c>
      <c r="M11" s="235"/>
      <c r="N11" s="235"/>
    </row>
    <row r="12" spans="1:38" ht="33.9" customHeight="1" x14ac:dyDescent="0.4">
      <c r="B12" s="580" t="s">
        <v>196</v>
      </c>
      <c r="C12" s="167">
        <v>6699</v>
      </c>
      <c r="D12" s="167">
        <f>+C12*2</f>
        <v>13398</v>
      </c>
      <c r="E12" s="168">
        <f>D12/J12</f>
        <v>446.6</v>
      </c>
      <c r="F12" s="170"/>
      <c r="G12" s="170"/>
      <c r="H12" s="169">
        <f>C12/12</f>
        <v>558.25</v>
      </c>
      <c r="I12" s="236">
        <v>15</v>
      </c>
      <c r="J12" s="236">
        <v>30</v>
      </c>
      <c r="K12" s="236">
        <v>12</v>
      </c>
      <c r="L12" s="236">
        <v>24</v>
      </c>
      <c r="M12" s="235"/>
      <c r="N12" s="235"/>
    </row>
    <row r="13" spans="1:38" ht="33.9" customHeight="1" x14ac:dyDescent="0.4">
      <c r="B13" s="580" t="s">
        <v>108</v>
      </c>
      <c r="C13" s="167">
        <v>5141</v>
      </c>
      <c r="D13" s="167">
        <f>+C13*2</f>
        <v>10282</v>
      </c>
      <c r="E13" s="167">
        <f>D13/J13</f>
        <v>342.73333333333335</v>
      </c>
      <c r="F13" s="170"/>
      <c r="G13" s="170"/>
      <c r="H13" s="167">
        <f>C13/12</f>
        <v>428.41666666666669</v>
      </c>
      <c r="I13" s="236">
        <v>15</v>
      </c>
      <c r="J13" s="236">
        <v>30</v>
      </c>
      <c r="K13" s="236">
        <v>12</v>
      </c>
      <c r="L13" s="236">
        <v>24</v>
      </c>
      <c r="M13" s="235"/>
      <c r="N13" s="235"/>
    </row>
    <row r="14" spans="1:38" ht="40.5" hidden="1" customHeight="1" x14ac:dyDescent="0.4">
      <c r="B14" s="136" t="s">
        <v>181</v>
      </c>
      <c r="C14" s="167">
        <v>0</v>
      </c>
      <c r="D14" s="167">
        <v>0</v>
      </c>
      <c r="E14" s="169">
        <v>0</v>
      </c>
      <c r="F14" s="170"/>
      <c r="G14" s="170"/>
      <c r="H14" s="168"/>
      <c r="I14" s="236">
        <v>15</v>
      </c>
      <c r="J14" s="236">
        <v>30</v>
      </c>
      <c r="K14" s="236">
        <v>12</v>
      </c>
      <c r="L14" s="236">
        <v>24</v>
      </c>
    </row>
    <row r="15" spans="1:38" ht="40.5" hidden="1" customHeight="1" x14ac:dyDescent="0.4">
      <c r="B15" s="136"/>
      <c r="C15" s="167"/>
      <c r="D15" s="167"/>
      <c r="E15" s="167"/>
      <c r="F15" s="170"/>
      <c r="G15" s="170"/>
      <c r="H15" s="168"/>
      <c r="I15" s="236"/>
      <c r="J15" s="236"/>
      <c r="K15" s="236"/>
      <c r="L15" s="23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40.5" customHeight="1" x14ac:dyDescent="0.4">
      <c r="B16" s="580" t="s">
        <v>197</v>
      </c>
      <c r="C16" s="167">
        <v>2250</v>
      </c>
      <c r="D16" s="167">
        <f>+C16*2</f>
        <v>4500</v>
      </c>
      <c r="E16" s="169">
        <f>D16/J16</f>
        <v>150</v>
      </c>
      <c r="F16" s="170"/>
      <c r="G16" s="170"/>
      <c r="H16" s="167">
        <f>D16/L16</f>
        <v>187.5</v>
      </c>
      <c r="I16" s="236">
        <v>15</v>
      </c>
      <c r="J16" s="236">
        <v>30</v>
      </c>
      <c r="K16" s="236">
        <v>12</v>
      </c>
      <c r="L16" s="236">
        <v>24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40.5" customHeight="1" x14ac:dyDescent="0.25">
      <c r="B17" s="582" t="s">
        <v>201</v>
      </c>
      <c r="C17" s="167">
        <v>16597</v>
      </c>
      <c r="D17" s="167">
        <f>+C17*2</f>
        <v>33194</v>
      </c>
      <c r="E17" s="168">
        <f>D17/J17</f>
        <v>873.52631578947364</v>
      </c>
      <c r="F17" s="724">
        <v>15925</v>
      </c>
      <c r="G17" s="724">
        <f>F17*2</f>
        <v>31850</v>
      </c>
      <c r="H17" s="169"/>
      <c r="I17" s="236">
        <v>19</v>
      </c>
      <c r="J17" s="236">
        <v>38</v>
      </c>
      <c r="K17" s="236">
        <v>19</v>
      </c>
      <c r="L17" s="236">
        <v>38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40.5" customHeight="1" x14ac:dyDescent="0.25">
      <c r="B18" s="582" t="s">
        <v>200</v>
      </c>
      <c r="C18" s="167">
        <v>20566.29</v>
      </c>
      <c r="D18" s="167">
        <f>+C18*2</f>
        <v>41132.58</v>
      </c>
      <c r="E18" s="168">
        <f>D18/J18</f>
        <v>1082.4363157894738</v>
      </c>
      <c r="F18" s="724">
        <v>19733.580000000002</v>
      </c>
      <c r="G18" s="724">
        <f>F18*2</f>
        <v>39467.160000000003</v>
      </c>
      <c r="H18" s="169"/>
      <c r="I18" s="236">
        <v>19</v>
      </c>
      <c r="J18" s="236">
        <v>38</v>
      </c>
      <c r="K18" s="236">
        <v>19</v>
      </c>
      <c r="L18" s="236">
        <v>38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20" spans="1:38" ht="13.8" thickBot="1" x14ac:dyDescent="0.3">
      <c r="A20" s="1"/>
      <c r="C20" s="189" t="s">
        <v>161</v>
      </c>
      <c r="D20" s="189" t="s">
        <v>162</v>
      </c>
      <c r="E20" s="189" t="s">
        <v>163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4" thickBot="1" x14ac:dyDescent="0.3">
      <c r="A21" s="1"/>
      <c r="B21" s="185"/>
      <c r="C21" s="188">
        <v>0.06</v>
      </c>
      <c r="D21" s="188">
        <v>0.1</v>
      </c>
      <c r="E21" s="188">
        <v>0.15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28.2" thickBot="1" x14ac:dyDescent="0.3">
      <c r="A22" s="1"/>
      <c r="B22" s="186" t="s">
        <v>144</v>
      </c>
      <c r="C22" s="187" t="s">
        <v>145</v>
      </c>
      <c r="D22" s="187" t="s">
        <v>146</v>
      </c>
      <c r="E22" s="187" t="s">
        <v>147</v>
      </c>
      <c r="H22" s="834" t="s">
        <v>170</v>
      </c>
      <c r="I22" s="834"/>
      <c r="J22" s="834"/>
      <c r="K22" s="834"/>
      <c r="L22" s="83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38.25" customHeight="1" thickBot="1" x14ac:dyDescent="0.3">
      <c r="A23" s="1"/>
      <c r="B23" s="186" t="s">
        <v>144</v>
      </c>
      <c r="C23" s="187" t="s">
        <v>148</v>
      </c>
      <c r="D23" s="187" t="s">
        <v>149</v>
      </c>
      <c r="E23" s="187" t="s">
        <v>150</v>
      </c>
      <c r="H23" s="488"/>
      <c r="I23"/>
      <c r="J23"/>
      <c r="K23"/>
      <c r="L2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28.2" thickBot="1" x14ac:dyDescent="0.3">
      <c r="A24" s="1"/>
      <c r="B24" s="186" t="s">
        <v>144</v>
      </c>
      <c r="C24" s="187" t="s">
        <v>151</v>
      </c>
      <c r="D24" s="187" t="s">
        <v>152</v>
      </c>
      <c r="E24" s="187"/>
      <c r="H24" s="489" t="s">
        <v>171</v>
      </c>
      <c r="I24" s="490" t="s">
        <v>172</v>
      </c>
      <c r="J24" s="490" t="s">
        <v>173</v>
      </c>
      <c r="K24" s="490" t="s">
        <v>174</v>
      </c>
      <c r="L24" s="49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31.8" thickBot="1" x14ac:dyDescent="0.3">
      <c r="A25" s="1"/>
      <c r="B25" s="823" t="s">
        <v>153</v>
      </c>
      <c r="C25" s="825" t="s">
        <v>154</v>
      </c>
      <c r="D25" s="825" t="s">
        <v>155</v>
      </c>
      <c r="E25" s="825" t="s">
        <v>156</v>
      </c>
      <c r="H25" s="827" t="s">
        <v>183</v>
      </c>
      <c r="I25" s="492" t="s">
        <v>176</v>
      </c>
      <c r="J25" s="492" t="s">
        <v>177</v>
      </c>
      <c r="K25" s="493">
        <v>2584</v>
      </c>
      <c r="L25" s="829" t="s">
        <v>175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31.8" thickBot="1" x14ac:dyDescent="0.3">
      <c r="A26" s="1"/>
      <c r="B26" s="824"/>
      <c r="C26" s="826"/>
      <c r="D26" s="826"/>
      <c r="E26" s="826"/>
      <c r="H26" s="828"/>
      <c r="I26" s="492" t="s">
        <v>176</v>
      </c>
      <c r="J26" s="492" t="s">
        <v>178</v>
      </c>
      <c r="K26" s="493">
        <v>3201.98</v>
      </c>
      <c r="L26" s="81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31.5" customHeight="1" thickBot="1" x14ac:dyDescent="0.3">
      <c r="A27" s="1"/>
      <c r="B27" s="186" t="s">
        <v>157</v>
      </c>
      <c r="C27" s="187"/>
      <c r="D27" s="187"/>
      <c r="E27" s="187" t="s">
        <v>158</v>
      </c>
      <c r="H27" s="815" t="s">
        <v>184</v>
      </c>
      <c r="I27" s="816"/>
      <c r="J27" s="816"/>
      <c r="K27" s="816"/>
      <c r="L27" s="81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43.5" customHeight="1" thickBot="1" x14ac:dyDescent="0.3">
      <c r="A28" s="1"/>
      <c r="B28" s="186" t="s">
        <v>159</v>
      </c>
      <c r="C28" s="187" t="s">
        <v>160</v>
      </c>
      <c r="D28" s="187"/>
      <c r="E28" s="187"/>
      <c r="H28" s="827" t="s">
        <v>185</v>
      </c>
      <c r="I28" s="492" t="s">
        <v>179</v>
      </c>
      <c r="J28" s="492" t="s">
        <v>177</v>
      </c>
      <c r="K28" s="493">
        <v>5168</v>
      </c>
      <c r="L28" s="818" t="s">
        <v>180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41.25" customHeight="1" thickBot="1" x14ac:dyDescent="0.3">
      <c r="A29" s="1"/>
      <c r="H29" s="828"/>
      <c r="I29" s="492" t="s">
        <v>179</v>
      </c>
      <c r="J29" s="492" t="s">
        <v>178</v>
      </c>
      <c r="K29" s="493">
        <v>6403.96</v>
      </c>
      <c r="L29" s="81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31.5" customHeight="1" thickBot="1" x14ac:dyDescent="0.3">
      <c r="A30" s="1"/>
      <c r="H30" s="815" t="s">
        <v>186</v>
      </c>
      <c r="I30" s="816"/>
      <c r="J30" s="816"/>
      <c r="K30" s="816"/>
      <c r="L30" s="81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35.4" thickBot="1" x14ac:dyDescent="0.3">
      <c r="A31" s="1"/>
      <c r="B31" s="228" t="s">
        <v>167</v>
      </c>
      <c r="C31" s="225" t="s">
        <v>145</v>
      </c>
      <c r="D31" s="188">
        <v>0.06</v>
      </c>
      <c r="H31" s="820" t="s">
        <v>187</v>
      </c>
      <c r="I31" s="821"/>
      <c r="J31" s="821"/>
      <c r="K31" s="821"/>
      <c r="L31" s="82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35.4" thickBot="1" x14ac:dyDescent="0.3">
      <c r="A32" s="1"/>
      <c r="B32" s="229" t="s">
        <v>167</v>
      </c>
      <c r="C32" s="226" t="s">
        <v>148</v>
      </c>
      <c r="D32" s="188">
        <v>0.06</v>
      </c>
      <c r="H32" s="822"/>
      <c r="I32" s="822"/>
      <c r="J32" s="822"/>
      <c r="K32" s="822"/>
      <c r="L32" s="82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42" ht="35.4" thickBot="1" x14ac:dyDescent="0.3">
      <c r="A33" s="1"/>
      <c r="B33" s="229" t="s">
        <v>167</v>
      </c>
      <c r="C33" s="226" t="s">
        <v>151</v>
      </c>
      <c r="D33" s="188">
        <v>0.06</v>
      </c>
      <c r="H33" s="822"/>
      <c r="I33" s="822"/>
      <c r="J33" s="822"/>
      <c r="K33" s="822"/>
      <c r="L33" s="82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42" ht="35.4" thickBot="1" x14ac:dyDescent="0.3">
      <c r="A34" s="1"/>
      <c r="B34" s="229" t="s">
        <v>167</v>
      </c>
      <c r="C34" s="227" t="s">
        <v>146</v>
      </c>
      <c r="D34" s="188">
        <v>0.1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42" ht="35.4" thickBot="1" x14ac:dyDescent="0.3">
      <c r="B35" s="229" t="s">
        <v>167</v>
      </c>
      <c r="C35" s="227" t="s">
        <v>149</v>
      </c>
      <c r="D35" s="188">
        <v>0.1</v>
      </c>
    </row>
    <row r="36" spans="1:42" ht="35.4" thickBot="1" x14ac:dyDescent="0.3">
      <c r="B36" s="230" t="s">
        <v>167</v>
      </c>
      <c r="C36" s="227" t="s">
        <v>152</v>
      </c>
      <c r="D36" s="188">
        <v>0.1</v>
      </c>
      <c r="E36" s="517"/>
      <c r="F36" s="517"/>
      <c r="G36" s="517"/>
      <c r="H36" s="517"/>
      <c r="I36" s="517"/>
      <c r="J36" s="517"/>
      <c r="K36" s="517"/>
      <c r="L36" s="517"/>
      <c r="M36" s="517"/>
      <c r="N36" s="517"/>
      <c r="O36" s="517"/>
      <c r="P36" s="517"/>
      <c r="Q36" s="517"/>
      <c r="R36" s="517"/>
      <c r="S36" s="517"/>
    </row>
    <row r="37" spans="1:42" ht="35.4" thickBot="1" x14ac:dyDescent="0.3">
      <c r="B37" s="230" t="s">
        <v>167</v>
      </c>
      <c r="C37" s="190" t="s">
        <v>147</v>
      </c>
      <c r="D37" s="188">
        <v>0.15</v>
      </c>
      <c r="E37" s="517"/>
      <c r="F37" s="517"/>
      <c r="G37" s="517"/>
      <c r="H37" s="517"/>
      <c r="I37" s="517"/>
      <c r="J37" s="517"/>
      <c r="K37" s="517"/>
      <c r="L37" s="517"/>
      <c r="M37" s="517"/>
      <c r="N37" s="517"/>
      <c r="O37" s="517"/>
      <c r="P37" s="517"/>
      <c r="Q37" s="517"/>
      <c r="R37" s="517"/>
      <c r="S37" s="517"/>
    </row>
    <row r="38" spans="1:42" ht="36.75" customHeight="1" thickBot="1" x14ac:dyDescent="0.3">
      <c r="A38" s="42"/>
      <c r="B38" s="231" t="s">
        <v>167</v>
      </c>
      <c r="C38" s="190" t="s">
        <v>150</v>
      </c>
      <c r="D38" s="188">
        <v>0.15</v>
      </c>
      <c r="E38" s="517"/>
      <c r="F38" s="517"/>
      <c r="G38" s="517"/>
      <c r="H38" s="517"/>
      <c r="I38" s="517"/>
      <c r="J38" s="517"/>
      <c r="K38" s="517"/>
      <c r="L38" s="517"/>
      <c r="M38" s="517"/>
      <c r="N38" s="517"/>
      <c r="O38" s="517"/>
      <c r="P38" s="517"/>
      <c r="Q38" s="517"/>
      <c r="R38" s="517"/>
      <c r="S38" s="517"/>
      <c r="T38" s="44"/>
      <c r="U38" s="44"/>
      <c r="V38" s="44"/>
      <c r="W38" s="44"/>
      <c r="X38" s="45"/>
      <c r="Y38" s="45"/>
      <c r="Z38" s="44"/>
      <c r="AA38" s="44"/>
      <c r="AB38" s="44"/>
      <c r="AC38" s="46"/>
      <c r="AD38" s="46"/>
      <c r="AE38" s="67"/>
      <c r="AF38" s="44"/>
      <c r="AJ38" s="16"/>
      <c r="AK38" s="17"/>
      <c r="AL38" s="17"/>
      <c r="AP38" s="8"/>
    </row>
    <row r="39" spans="1:42" ht="32.25" customHeight="1" thickBot="1" x14ac:dyDescent="0.3">
      <c r="B39" s="232" t="s">
        <v>168</v>
      </c>
      <c r="C39" s="226" t="s">
        <v>166</v>
      </c>
      <c r="D39" s="188">
        <v>0.06</v>
      </c>
      <c r="E39" s="517"/>
      <c r="F39" s="517"/>
      <c r="G39" s="517"/>
      <c r="H39" s="517"/>
      <c r="I39" s="517"/>
      <c r="J39" s="517"/>
      <c r="K39" s="517"/>
      <c r="L39" s="517"/>
      <c r="M39" s="517"/>
      <c r="N39" s="517"/>
      <c r="O39" s="517"/>
      <c r="P39" s="517"/>
      <c r="Q39" s="517"/>
      <c r="R39" s="517"/>
      <c r="S39" s="517"/>
    </row>
    <row r="40" spans="1:42" ht="18.75" customHeight="1" thickBot="1" x14ac:dyDescent="0.3">
      <c r="B40" s="233" t="s">
        <v>168</v>
      </c>
      <c r="C40" s="226" t="s">
        <v>155</v>
      </c>
      <c r="D40" s="188">
        <v>0.1</v>
      </c>
      <c r="E40" s="517"/>
      <c r="F40" s="517"/>
      <c r="G40" s="517"/>
      <c r="H40" s="517"/>
      <c r="I40" s="517"/>
      <c r="J40" s="517"/>
      <c r="K40" s="517"/>
      <c r="L40" s="517"/>
      <c r="M40" s="517"/>
      <c r="N40" s="517"/>
      <c r="O40" s="517"/>
      <c r="P40" s="517"/>
      <c r="Q40" s="517"/>
      <c r="R40" s="517"/>
      <c r="S40" s="517"/>
    </row>
    <row r="41" spans="1:42" ht="18.75" customHeight="1" thickBot="1" x14ac:dyDescent="0.3">
      <c r="B41" s="234" t="s">
        <v>168</v>
      </c>
      <c r="C41" s="226" t="s">
        <v>156</v>
      </c>
      <c r="D41" s="188">
        <v>0.15</v>
      </c>
      <c r="E41" s="517"/>
      <c r="F41" s="517"/>
      <c r="G41" s="517"/>
      <c r="H41" s="517"/>
      <c r="I41" s="517"/>
      <c r="J41" s="517"/>
      <c r="K41" s="517"/>
      <c r="L41" s="517"/>
      <c r="M41" s="517"/>
      <c r="N41" s="517"/>
      <c r="O41" s="517"/>
      <c r="P41" s="517"/>
      <c r="Q41" s="517"/>
      <c r="R41" s="517"/>
      <c r="S41" s="517"/>
    </row>
    <row r="42" spans="1:42" ht="15.6" x14ac:dyDescent="0.25">
      <c r="E42" s="517"/>
      <c r="F42" s="517"/>
      <c r="G42" s="517"/>
      <c r="H42" s="517"/>
      <c r="I42" s="517"/>
      <c r="J42" s="517"/>
      <c r="K42" s="517"/>
      <c r="L42" s="517"/>
      <c r="M42" s="517"/>
      <c r="N42" s="517"/>
      <c r="O42" s="517"/>
      <c r="P42" s="517"/>
      <c r="Q42" s="517"/>
      <c r="R42" s="517"/>
      <c r="S42" s="517"/>
    </row>
    <row r="43" spans="1:42" ht="15.6" x14ac:dyDescent="0.25">
      <c r="E43" s="517"/>
      <c r="F43" s="517"/>
      <c r="G43" s="517"/>
      <c r="H43" s="517"/>
      <c r="I43" s="517"/>
      <c r="J43" s="517"/>
      <c r="K43" s="517"/>
      <c r="L43" s="517"/>
      <c r="M43" s="517"/>
      <c r="N43" s="517"/>
      <c r="O43" s="517"/>
      <c r="P43" s="517"/>
      <c r="Q43" s="517"/>
      <c r="R43" s="517"/>
      <c r="S43" s="517"/>
    </row>
    <row r="44" spans="1:42" ht="15.6" x14ac:dyDescent="0.25">
      <c r="E44" s="517"/>
      <c r="F44" s="517"/>
      <c r="G44" s="517"/>
      <c r="H44" s="517"/>
      <c r="I44" s="517"/>
      <c r="J44" s="517"/>
      <c r="K44" s="517"/>
      <c r="L44" s="517"/>
      <c r="M44" s="517"/>
      <c r="N44" s="517"/>
      <c r="O44" s="517"/>
      <c r="P44" s="517"/>
      <c r="Q44" s="517"/>
      <c r="R44" s="517"/>
      <c r="S44" s="517"/>
    </row>
    <row r="45" spans="1:42" ht="15.6" x14ac:dyDescent="0.25">
      <c r="E45" s="517"/>
      <c r="F45" s="517"/>
      <c r="G45" s="517"/>
      <c r="H45" s="517"/>
      <c r="I45" s="517"/>
      <c r="J45" s="517"/>
      <c r="K45" s="517"/>
      <c r="L45" s="517"/>
      <c r="M45" s="517"/>
      <c r="N45" s="517"/>
      <c r="O45" s="517"/>
      <c r="P45" s="517"/>
      <c r="Q45" s="517"/>
      <c r="R45" s="517"/>
      <c r="S45" s="517"/>
    </row>
    <row r="46" spans="1:42" ht="15.6" x14ac:dyDescent="0.25">
      <c r="E46" s="517"/>
      <c r="F46" s="517"/>
      <c r="G46" s="517"/>
      <c r="H46" s="517"/>
      <c r="I46" s="517"/>
      <c r="J46" s="517"/>
      <c r="K46" s="517"/>
      <c r="L46" s="517"/>
      <c r="M46" s="517"/>
      <c r="N46" s="517"/>
      <c r="O46" s="517"/>
      <c r="P46" s="517"/>
      <c r="Q46" s="517"/>
      <c r="R46" s="517"/>
      <c r="S46" s="517"/>
    </row>
    <row r="47" spans="1:42" ht="15.6" x14ac:dyDescent="0.25">
      <c r="E47" s="517"/>
      <c r="F47" s="517"/>
      <c r="G47" s="517"/>
      <c r="H47" s="517"/>
      <c r="I47" s="517"/>
      <c r="J47" s="517"/>
      <c r="K47" s="517"/>
      <c r="L47" s="517"/>
      <c r="M47" s="517"/>
      <c r="N47" s="517"/>
      <c r="O47" s="517"/>
      <c r="P47" s="517"/>
      <c r="Q47" s="517"/>
      <c r="R47" s="517"/>
      <c r="S47" s="517"/>
    </row>
    <row r="48" spans="1:42" ht="15.6" x14ac:dyDescent="0.25">
      <c r="E48" s="517"/>
      <c r="F48" s="517"/>
      <c r="G48" s="517"/>
      <c r="H48" s="517"/>
      <c r="I48" s="517"/>
      <c r="J48" s="517"/>
      <c r="K48" s="517"/>
      <c r="L48" s="517"/>
      <c r="M48" s="517"/>
      <c r="N48" s="517"/>
      <c r="O48" s="517"/>
      <c r="P48" s="517"/>
      <c r="Q48" s="517"/>
      <c r="R48" s="517"/>
      <c r="S48" s="517"/>
    </row>
    <row r="49" spans="5:19" ht="15.6" x14ac:dyDescent="0.25">
      <c r="E49" s="517"/>
      <c r="F49" s="517"/>
      <c r="G49" s="517"/>
      <c r="H49" s="517"/>
      <c r="I49" s="517"/>
      <c r="J49" s="517"/>
      <c r="K49" s="517"/>
      <c r="L49" s="517"/>
      <c r="M49" s="517"/>
      <c r="N49" s="517"/>
      <c r="O49" s="517"/>
      <c r="P49" s="517"/>
      <c r="Q49" s="517"/>
      <c r="R49" s="517"/>
      <c r="S49" s="517"/>
    </row>
    <row r="50" spans="5:19" ht="15.6" x14ac:dyDescent="0.25">
      <c r="E50" s="517"/>
      <c r="F50" s="517"/>
      <c r="G50" s="517"/>
      <c r="H50" s="517"/>
      <c r="I50" s="517"/>
      <c r="J50" s="517"/>
      <c r="K50" s="517"/>
      <c r="L50" s="517"/>
      <c r="M50" s="517"/>
      <c r="N50" s="517"/>
      <c r="O50" s="517"/>
      <c r="P50" s="517"/>
      <c r="Q50" s="517"/>
      <c r="R50" s="517"/>
      <c r="S50" s="517"/>
    </row>
    <row r="51" spans="5:19" ht="15.6" x14ac:dyDescent="0.25">
      <c r="E51" s="517"/>
      <c r="F51" s="517"/>
      <c r="G51" s="517"/>
      <c r="H51" s="517"/>
      <c r="I51" s="517"/>
      <c r="J51" s="517"/>
      <c r="K51" s="517"/>
      <c r="L51" s="517"/>
      <c r="M51" s="517"/>
      <c r="N51" s="517"/>
      <c r="O51" s="517"/>
      <c r="P51" s="517"/>
      <c r="Q51" s="517"/>
      <c r="R51" s="517"/>
      <c r="S51" s="517"/>
    </row>
    <row r="52" spans="5:19" ht="15.6" x14ac:dyDescent="0.25">
      <c r="E52" s="517"/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7"/>
    </row>
    <row r="53" spans="5:19" ht="15.6" x14ac:dyDescent="0.25">
      <c r="E53" s="517"/>
      <c r="F53" s="517"/>
      <c r="G53" s="517"/>
      <c r="H53" s="517"/>
      <c r="I53" s="517"/>
      <c r="J53" s="517"/>
      <c r="K53" s="517"/>
      <c r="L53" s="517"/>
      <c r="M53" s="517"/>
      <c r="N53" s="517"/>
      <c r="O53" s="517"/>
      <c r="P53" s="517"/>
      <c r="Q53" s="517"/>
      <c r="R53" s="517"/>
      <c r="S53" s="517"/>
    </row>
    <row r="54" spans="5:19" ht="15.6" x14ac:dyDescent="0.25">
      <c r="E54" s="517"/>
      <c r="F54" s="517"/>
      <c r="G54" s="517"/>
      <c r="H54" s="517"/>
      <c r="I54" s="517"/>
      <c r="J54" s="517"/>
      <c r="K54" s="517"/>
      <c r="L54" s="517"/>
      <c r="M54" s="517"/>
      <c r="N54" s="517"/>
      <c r="O54" s="517"/>
      <c r="P54" s="517"/>
      <c r="Q54" s="517"/>
      <c r="R54" s="517"/>
      <c r="S54" s="517"/>
    </row>
    <row r="55" spans="5:19" ht="15.6" x14ac:dyDescent="0.25">
      <c r="E55" s="517"/>
      <c r="F55" s="517"/>
      <c r="G55" s="517"/>
      <c r="H55" s="517"/>
      <c r="I55" s="517"/>
      <c r="J55" s="517"/>
      <c r="K55" s="517"/>
      <c r="L55" s="517"/>
      <c r="M55" s="517"/>
      <c r="N55" s="517"/>
      <c r="O55" s="517"/>
      <c r="P55" s="517"/>
      <c r="Q55" s="517"/>
      <c r="R55" s="517"/>
      <c r="S55" s="517"/>
    </row>
    <row r="67" spans="1:38" x14ac:dyDescent="0.25">
      <c r="A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6"/>
      <c r="AK67" s="17"/>
      <c r="AL67" s="17"/>
    </row>
    <row r="97" spans="1:38" x14ac:dyDescent="0.25">
      <c r="A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6"/>
      <c r="AK97" s="17"/>
      <c r="AL97" s="17"/>
    </row>
    <row r="175" spans="1:38" s="3" customFormat="1" x14ac:dyDescent="0.25">
      <c r="A175" s="12"/>
      <c r="C175" s="21"/>
      <c r="D175" s="21"/>
      <c r="E175" s="21"/>
      <c r="F175" s="21"/>
      <c r="G175" s="21"/>
      <c r="H175" s="21"/>
      <c r="I175" s="21"/>
      <c r="J175" s="22"/>
      <c r="K175" s="21"/>
      <c r="L175" s="21"/>
      <c r="M175" s="22"/>
      <c r="N175" s="22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</row>
  </sheetData>
  <dataConsolidate/>
  <mergeCells count="20">
    <mergeCell ref="A2:B2"/>
    <mergeCell ref="H6:H7"/>
    <mergeCell ref="I6:I7"/>
    <mergeCell ref="J6:J7"/>
    <mergeCell ref="H30:L30"/>
    <mergeCell ref="H22:L22"/>
    <mergeCell ref="H31:L33"/>
    <mergeCell ref="B25:B26"/>
    <mergeCell ref="C25:C26"/>
    <mergeCell ref="D25:D26"/>
    <mergeCell ref="E25:E26"/>
    <mergeCell ref="H25:H26"/>
    <mergeCell ref="H28:H29"/>
    <mergeCell ref="L25:L26"/>
    <mergeCell ref="N6:N7"/>
    <mergeCell ref="L6:L7"/>
    <mergeCell ref="K6:K7"/>
    <mergeCell ref="H27:L27"/>
    <mergeCell ref="L28:L29"/>
    <mergeCell ref="M6:M7"/>
  </mergeCells>
  <phoneticPr fontId="5" type="noConversion"/>
  <pageMargins left="0.74803149606299213" right="0.74803149606299213" top="0.98425196850393704" bottom="0.98425196850393704" header="0" footer="0"/>
  <pageSetup paperSize="5" scale="67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9"/>
  <sheetViews>
    <sheetView workbookViewId="0">
      <selection activeCell="A15" sqref="A15"/>
    </sheetView>
  </sheetViews>
  <sheetFormatPr baseColWidth="10" defaultRowHeight="13.2" x14ac:dyDescent="0.25"/>
  <sheetData>
    <row r="2" spans="1:3" x14ac:dyDescent="0.25">
      <c r="A2" s="835" t="s">
        <v>124</v>
      </c>
      <c r="B2" s="836"/>
      <c r="C2" s="836"/>
    </row>
    <row r="4" spans="1:3" x14ac:dyDescent="0.25">
      <c r="A4">
        <v>0</v>
      </c>
      <c r="B4">
        <v>0</v>
      </c>
    </row>
    <row r="5" spans="1:3" x14ac:dyDescent="0.25">
      <c r="A5">
        <v>1</v>
      </c>
      <c r="B5" s="6">
        <v>0.3</v>
      </c>
    </row>
    <row r="6" spans="1:3" x14ac:dyDescent="0.25">
      <c r="A6">
        <v>2</v>
      </c>
      <c r="B6" s="6">
        <v>0.3</v>
      </c>
    </row>
    <row r="7" spans="1:3" x14ac:dyDescent="0.25">
      <c r="A7">
        <v>3</v>
      </c>
      <c r="B7" s="6">
        <v>0.3</v>
      </c>
    </row>
    <row r="8" spans="1:3" x14ac:dyDescent="0.25">
      <c r="A8">
        <v>4</v>
      </c>
      <c r="B8" s="6">
        <v>0.4</v>
      </c>
    </row>
    <row r="9" spans="1:3" x14ac:dyDescent="0.25">
      <c r="A9">
        <v>5</v>
      </c>
      <c r="B9" s="6">
        <v>0.4</v>
      </c>
    </row>
    <row r="10" spans="1:3" x14ac:dyDescent="0.25">
      <c r="A10">
        <v>6</v>
      </c>
      <c r="B10" s="6">
        <v>0.4</v>
      </c>
    </row>
    <row r="11" spans="1:3" x14ac:dyDescent="0.25">
      <c r="A11">
        <v>7</v>
      </c>
      <c r="B11" s="6">
        <v>0.5</v>
      </c>
    </row>
    <row r="12" spans="1:3" x14ac:dyDescent="0.25">
      <c r="A12">
        <v>8</v>
      </c>
      <c r="B12" s="6">
        <v>0.5</v>
      </c>
    </row>
    <row r="13" spans="1:3" x14ac:dyDescent="0.25">
      <c r="A13">
        <v>9</v>
      </c>
      <c r="B13" s="6">
        <v>0.5</v>
      </c>
    </row>
    <row r="14" spans="1:3" x14ac:dyDescent="0.25">
      <c r="A14">
        <v>10</v>
      </c>
      <c r="B14" s="6">
        <v>0.6</v>
      </c>
    </row>
    <row r="15" spans="1:3" x14ac:dyDescent="0.25">
      <c r="A15">
        <v>11</v>
      </c>
      <c r="B15" s="6">
        <v>0.6</v>
      </c>
    </row>
    <row r="16" spans="1:3" x14ac:dyDescent="0.25">
      <c r="A16">
        <v>12</v>
      </c>
      <c r="B16" s="6">
        <v>0.7</v>
      </c>
    </row>
    <row r="17" spans="1:2" x14ac:dyDescent="0.25">
      <c r="A17">
        <v>13</v>
      </c>
      <c r="B17" s="6">
        <v>0.7</v>
      </c>
    </row>
    <row r="18" spans="1:2" x14ac:dyDescent="0.25">
      <c r="A18">
        <v>14</v>
      </c>
      <c r="B18" s="6">
        <v>0.8</v>
      </c>
    </row>
    <row r="19" spans="1:2" x14ac:dyDescent="0.25">
      <c r="A19">
        <v>15</v>
      </c>
      <c r="B19" s="6">
        <v>0.8</v>
      </c>
    </row>
    <row r="20" spans="1:2" x14ac:dyDescent="0.25">
      <c r="A20">
        <v>16</v>
      </c>
      <c r="B20" s="6">
        <v>0.9</v>
      </c>
    </row>
    <row r="21" spans="1:2" x14ac:dyDescent="0.25">
      <c r="A21">
        <v>17</v>
      </c>
      <c r="B21" s="6">
        <v>0.9</v>
      </c>
    </row>
    <row r="22" spans="1:2" x14ac:dyDescent="0.25">
      <c r="A22">
        <v>18</v>
      </c>
      <c r="B22" s="6">
        <v>1</v>
      </c>
    </row>
    <row r="23" spans="1:2" x14ac:dyDescent="0.25">
      <c r="A23">
        <v>19</v>
      </c>
      <c r="B23" s="6">
        <v>1</v>
      </c>
    </row>
    <row r="24" spans="1:2" x14ac:dyDescent="0.25">
      <c r="A24">
        <v>20</v>
      </c>
      <c r="B24" s="6">
        <v>1.1000000000000001</v>
      </c>
    </row>
    <row r="25" spans="1:2" x14ac:dyDescent="0.25">
      <c r="A25">
        <v>21</v>
      </c>
      <c r="B25" s="6">
        <v>1.1000000000000001</v>
      </c>
    </row>
    <row r="26" spans="1:2" x14ac:dyDescent="0.25">
      <c r="A26">
        <v>22</v>
      </c>
      <c r="B26" s="6">
        <v>1.2</v>
      </c>
    </row>
    <row r="27" spans="1:2" x14ac:dyDescent="0.25">
      <c r="A27">
        <v>23</v>
      </c>
      <c r="B27" s="6">
        <v>1.2</v>
      </c>
    </row>
    <row r="28" spans="1:2" x14ac:dyDescent="0.25">
      <c r="A28">
        <v>24</v>
      </c>
      <c r="B28" s="6">
        <v>1.2</v>
      </c>
    </row>
    <row r="29" spans="1:2" x14ac:dyDescent="0.25">
      <c r="A29">
        <v>25</v>
      </c>
      <c r="B29" s="6">
        <v>1.2</v>
      </c>
    </row>
    <row r="30" spans="1:2" x14ac:dyDescent="0.25">
      <c r="A30">
        <v>26</v>
      </c>
      <c r="B30" s="6">
        <v>1.2</v>
      </c>
    </row>
    <row r="31" spans="1:2" x14ac:dyDescent="0.25">
      <c r="A31">
        <v>27</v>
      </c>
      <c r="B31" s="6">
        <v>1.2</v>
      </c>
    </row>
    <row r="32" spans="1:2" x14ac:dyDescent="0.25">
      <c r="A32">
        <v>28</v>
      </c>
      <c r="B32" s="6">
        <v>1.2</v>
      </c>
    </row>
    <row r="33" spans="1:2" x14ac:dyDescent="0.25">
      <c r="A33">
        <v>29</v>
      </c>
      <c r="B33" s="6">
        <v>1.2</v>
      </c>
    </row>
    <row r="34" spans="1:2" x14ac:dyDescent="0.25">
      <c r="A34">
        <v>30</v>
      </c>
      <c r="B34" s="6">
        <v>1.2</v>
      </c>
    </row>
    <row r="35" spans="1:2" x14ac:dyDescent="0.25">
      <c r="A35">
        <v>31</v>
      </c>
      <c r="B35" s="6">
        <v>1.2</v>
      </c>
    </row>
    <row r="36" spans="1:2" x14ac:dyDescent="0.25">
      <c r="A36">
        <v>32</v>
      </c>
      <c r="B36" s="6">
        <v>1.2</v>
      </c>
    </row>
    <row r="37" spans="1:2" x14ac:dyDescent="0.25">
      <c r="A37">
        <v>33</v>
      </c>
      <c r="B37" s="6">
        <v>1.2</v>
      </c>
    </row>
    <row r="38" spans="1:2" x14ac:dyDescent="0.25">
      <c r="A38">
        <v>34</v>
      </c>
      <c r="B38" s="6">
        <v>1.2</v>
      </c>
    </row>
    <row r="39" spans="1:2" x14ac:dyDescent="0.25">
      <c r="A39">
        <v>35</v>
      </c>
      <c r="B39" s="6">
        <v>1.2</v>
      </c>
    </row>
  </sheetData>
  <mergeCells count="1">
    <mergeCell ref="A2:C2"/>
  </mergeCells>
  <phoneticPr fontId="8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INICIAL</vt:lpstr>
      <vt:lpstr>Hoja1</vt:lpstr>
      <vt:lpstr>PRIMARIA </vt:lpstr>
      <vt:lpstr>ESPECIAL</vt:lpstr>
      <vt:lpstr>SECUNDARIA</vt:lpstr>
      <vt:lpstr>SUPERIOR</vt:lpstr>
      <vt:lpstr>DATOS REFERENCIALES</vt:lpstr>
      <vt:lpstr>TABLA ANTIG.</vt:lpstr>
      <vt:lpstr>HORAS</vt:lpstr>
      <vt:lpstr>SUPERIOR!OLE_LINK11</vt:lpstr>
    </vt:vector>
  </TitlesOfParts>
  <Company>Redes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M. Sirotzky</dc:creator>
  <cp:lastModifiedBy>MyPC</cp:lastModifiedBy>
  <cp:lastPrinted>2019-03-12T16:41:02Z</cp:lastPrinted>
  <dcterms:created xsi:type="dcterms:W3CDTF">2004-08-24T12:38:23Z</dcterms:created>
  <dcterms:modified xsi:type="dcterms:W3CDTF">2022-06-24T15:12:07Z</dcterms:modified>
</cp:coreProperties>
</file>